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40" windowWidth="16660" windowHeight="7170" firstSheet="2" activeTab="2"/>
  </bookViews>
  <sheets>
    <sheet name="LRA 2023" sheetId="3" r:id="rId1"/>
    <sheet name="LRA 2022" sheetId="2" r:id="rId2"/>
    <sheet name="tabel renstra E.80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Titles" localSheetId="1">'LRA 2022'!$6:$14</definedName>
    <definedName name="_xlnm.Print_Titles" localSheetId="0">'LRA 2023'!$6:$14</definedName>
    <definedName name="_xlnm.Print_Titles" localSheetId="2">'tabel renstra E.80'!$12:$15</definedName>
  </definedNames>
  <calcPr calcId="144525"/>
</workbook>
</file>

<file path=xl/calcChain.xml><?xml version="1.0" encoding="utf-8"?>
<calcChain xmlns="http://schemas.openxmlformats.org/spreadsheetml/2006/main">
  <c r="AG16" i="1" l="1"/>
  <c r="AI16" i="1"/>
  <c r="AK16" i="1"/>
  <c r="AM16" i="1"/>
  <c r="AN137" i="1"/>
  <c r="AN136" i="1"/>
  <c r="AN135" i="1"/>
  <c r="AN134" i="1"/>
  <c r="AN133" i="1"/>
  <c r="AN132" i="1"/>
  <c r="AN130" i="1"/>
  <c r="AN129" i="1"/>
  <c r="AN128" i="1"/>
  <c r="AN125" i="1"/>
  <c r="AN124" i="1"/>
  <c r="AN123" i="1"/>
  <c r="AN122" i="1"/>
  <c r="AN121" i="1"/>
  <c r="AN120" i="1"/>
  <c r="AN118" i="1"/>
  <c r="AN117" i="1"/>
  <c r="AN116" i="1"/>
  <c r="AN115" i="1"/>
  <c r="AN114" i="1"/>
  <c r="AN112" i="1"/>
  <c r="AN111" i="1"/>
  <c r="AN110" i="1"/>
  <c r="AN109" i="1"/>
  <c r="AN108" i="1"/>
  <c r="AN107" i="1"/>
  <c r="AN103" i="1"/>
  <c r="AN102" i="1"/>
  <c r="AN101" i="1"/>
  <c r="AN100" i="1"/>
  <c r="AN99" i="1"/>
  <c r="AN97" i="1"/>
  <c r="AN96" i="1"/>
  <c r="AN95" i="1"/>
  <c r="AN94" i="1"/>
  <c r="AN93" i="1"/>
  <c r="AN92" i="1"/>
  <c r="AN91" i="1"/>
  <c r="AN89" i="1"/>
  <c r="AN88" i="1"/>
  <c r="AN87" i="1"/>
  <c r="AN86" i="1"/>
  <c r="AN84" i="1"/>
  <c r="AN83" i="1"/>
  <c r="AN82" i="1"/>
  <c r="AN80" i="1"/>
  <c r="AN79" i="1"/>
  <c r="AN78" i="1"/>
  <c r="AN77" i="1"/>
  <c r="AN76" i="1"/>
  <c r="AN75" i="1"/>
  <c r="AN74" i="1"/>
  <c r="AN153" i="1"/>
  <c r="AN143" i="1"/>
  <c r="AN148" i="1"/>
  <c r="AN149" i="1"/>
  <c r="AN138" i="1"/>
  <c r="AN140" i="1"/>
  <c r="AN142" i="1"/>
  <c r="AO141" i="1"/>
  <c r="AO155" i="1" l="1"/>
  <c r="AO154" i="1"/>
  <c r="AO151" i="1"/>
  <c r="AO145" i="1"/>
  <c r="AO137" i="1"/>
  <c r="AO136" i="1"/>
  <c r="AO135" i="1"/>
  <c r="AO133" i="1"/>
  <c r="AO124" i="1"/>
  <c r="AO123" i="1"/>
  <c r="AO122" i="1"/>
  <c r="AO119" i="1"/>
  <c r="AO118" i="1"/>
  <c r="AO117" i="1"/>
  <c r="AO116" i="1"/>
  <c r="AO115" i="1"/>
  <c r="AO114" i="1"/>
  <c r="AO107" i="1"/>
  <c r="AO87" i="1"/>
  <c r="AO86" i="1"/>
  <c r="AO83" i="1"/>
  <c r="AO82" i="1"/>
  <c r="AO78" i="1"/>
  <c r="AE103" i="1"/>
  <c r="AE126" i="1"/>
  <c r="AE77" i="1"/>
  <c r="AN73" i="1"/>
  <c r="AN72" i="1"/>
  <c r="N332" i="3"/>
  <c r="N331" i="3"/>
  <c r="V323" i="3"/>
  <c r="T320" i="3"/>
  <c r="S320" i="3"/>
  <c r="S319" i="3" s="1"/>
  <c r="R320" i="3"/>
  <c r="P320" i="3"/>
  <c r="O320" i="3"/>
  <c r="O319" i="3" s="1"/>
  <c r="T319" i="3"/>
  <c r="T318" i="3" s="1"/>
  <c r="Q319" i="3"/>
  <c r="Q318" i="3" s="1"/>
  <c r="P319" i="3"/>
  <c r="R319" i="3" s="1"/>
  <c r="P318" i="3"/>
  <c r="T317" i="3"/>
  <c r="S317" i="3"/>
  <c r="U317" i="3" s="1"/>
  <c r="Y317" i="3" s="1"/>
  <c r="R317" i="3"/>
  <c r="P317" i="3"/>
  <c r="O317" i="3"/>
  <c r="V317" i="3" s="1"/>
  <c r="T316" i="3"/>
  <c r="T315" i="3" s="1"/>
  <c r="T314" i="3" s="1"/>
  <c r="S316" i="3"/>
  <c r="U316" i="3" s="1"/>
  <c r="Y316" i="3" s="1"/>
  <c r="O316" i="3"/>
  <c r="T310" i="3"/>
  <c r="S310" i="3"/>
  <c r="P310" i="3" s="1"/>
  <c r="Q310" i="3"/>
  <c r="O310" i="3"/>
  <c r="U309" i="3"/>
  <c r="T309" i="3"/>
  <c r="S309" i="3"/>
  <c r="P309" i="3"/>
  <c r="R309" i="3" s="1"/>
  <c r="O309" i="3"/>
  <c r="AE308" i="3"/>
  <c r="T308" i="3"/>
  <c r="Q308" i="3" s="1"/>
  <c r="Q307" i="3" s="1"/>
  <c r="Q306" i="3" s="1"/>
  <c r="Q305" i="3" s="1"/>
  <c r="Q304" i="3" s="1"/>
  <c r="S308" i="3"/>
  <c r="P308" i="3" s="1"/>
  <c r="O308" i="3"/>
  <c r="T298" i="3"/>
  <c r="T297" i="3" s="1"/>
  <c r="S298" i="3"/>
  <c r="S297" i="3" s="1"/>
  <c r="S296" i="3" s="1"/>
  <c r="P298" i="3"/>
  <c r="R298" i="3" s="1"/>
  <c r="O298" i="3"/>
  <c r="Q297" i="3"/>
  <c r="Q296" i="3" s="1"/>
  <c r="Q292" i="3" s="1"/>
  <c r="Q291" i="3" s="1"/>
  <c r="Q290" i="3" s="1"/>
  <c r="Q288" i="3" s="1"/>
  <c r="Q286" i="3" s="1"/>
  <c r="T295" i="3"/>
  <c r="S295" i="3"/>
  <c r="U295" i="3" s="1"/>
  <c r="R295" i="3"/>
  <c r="P295" i="3"/>
  <c r="O295" i="3"/>
  <c r="T294" i="3"/>
  <c r="U294" i="3" s="1"/>
  <c r="R294" i="3"/>
  <c r="O294" i="3"/>
  <c r="O293" i="3" s="1"/>
  <c r="R293" i="3"/>
  <c r="Q293" i="3"/>
  <c r="P293" i="3"/>
  <c r="T284" i="3"/>
  <c r="T283" i="3" s="1"/>
  <c r="S284" i="3"/>
  <c r="P284" i="3"/>
  <c r="R284" i="3" s="1"/>
  <c r="O284" i="3"/>
  <c r="O283" i="3" s="1"/>
  <c r="N284" i="3"/>
  <c r="Q283" i="3"/>
  <c r="N283" i="3"/>
  <c r="T282" i="3"/>
  <c r="S282" i="3"/>
  <c r="U282" i="3" s="1"/>
  <c r="Y282" i="3" s="1"/>
  <c r="Q282" i="3"/>
  <c r="Q281" i="3" s="1"/>
  <c r="Q277" i="3" s="1"/>
  <c r="P282" i="3"/>
  <c r="R282" i="3" s="1"/>
  <c r="O282" i="3"/>
  <c r="N282" i="3"/>
  <c r="T281" i="3"/>
  <c r="P281" i="3"/>
  <c r="N281" i="3"/>
  <c r="T280" i="3"/>
  <c r="S280" i="3"/>
  <c r="U280" i="3" s="1"/>
  <c r="R280" i="3"/>
  <c r="P280" i="3"/>
  <c r="O280" i="3"/>
  <c r="N280" i="3"/>
  <c r="T279" i="3"/>
  <c r="T278" i="3" s="1"/>
  <c r="S279" i="3"/>
  <c r="S278" i="3" s="1"/>
  <c r="P279" i="3"/>
  <c r="R279" i="3" s="1"/>
  <c r="O279" i="3"/>
  <c r="N279" i="3"/>
  <c r="Q278" i="3"/>
  <c r="N278" i="3"/>
  <c r="T276" i="3"/>
  <c r="S276" i="3"/>
  <c r="P276" i="3" s="1"/>
  <c r="O276" i="3"/>
  <c r="N276" i="3"/>
  <c r="X275" i="3"/>
  <c r="V275" i="3"/>
  <c r="O275" i="3"/>
  <c r="Y275" i="3" s="1"/>
  <c r="N275" i="3"/>
  <c r="T274" i="3"/>
  <c r="S274" i="3"/>
  <c r="U274" i="3" s="1"/>
  <c r="R274" i="3"/>
  <c r="P274" i="3"/>
  <c r="O274" i="3"/>
  <c r="N274" i="3"/>
  <c r="X273" i="3"/>
  <c r="O273" i="3"/>
  <c r="O272" i="3" s="1"/>
  <c r="N273" i="3"/>
  <c r="Q272" i="3"/>
  <c r="Q271" i="3" s="1"/>
  <c r="Q270" i="3" s="1"/>
  <c r="Q269" i="3" s="1"/>
  <c r="Q267" i="3" s="1"/>
  <c r="X266" i="3"/>
  <c r="U266" i="3"/>
  <c r="V266" i="3" s="1"/>
  <c r="R266" i="3"/>
  <c r="W266" i="3" s="1"/>
  <c r="T265" i="3"/>
  <c r="T264" i="3" s="1"/>
  <c r="T263" i="3" s="1"/>
  <c r="S265" i="3"/>
  <c r="U265" i="3" s="1"/>
  <c r="Y265" i="3" s="1"/>
  <c r="Q265" i="3"/>
  <c r="Q264" i="3" s="1"/>
  <c r="Q263" i="3" s="1"/>
  <c r="P265" i="3"/>
  <c r="R265" i="3" s="1"/>
  <c r="O265" i="3"/>
  <c r="N265" i="3"/>
  <c r="O264" i="3"/>
  <c r="T262" i="3"/>
  <c r="T260" i="3" s="1"/>
  <c r="T259" i="3" s="1"/>
  <c r="S262" i="3"/>
  <c r="U262" i="3" s="1"/>
  <c r="P262" i="3"/>
  <c r="R262" i="3" s="1"/>
  <c r="O262" i="3"/>
  <c r="N262" i="3"/>
  <c r="T261" i="3"/>
  <c r="S261" i="3"/>
  <c r="U261" i="3" s="1"/>
  <c r="Y261" i="3" s="1"/>
  <c r="R261" i="3"/>
  <c r="O261" i="3"/>
  <c r="N261" i="3"/>
  <c r="S260" i="3"/>
  <c r="U260" i="3" s="1"/>
  <c r="R260" i="3"/>
  <c r="Q260" i="3"/>
  <c r="P260" i="3"/>
  <c r="U259" i="3"/>
  <c r="S259" i="3"/>
  <c r="Q259" i="3"/>
  <c r="P259" i="3"/>
  <c r="R259" i="3" s="1"/>
  <c r="T258" i="3"/>
  <c r="Q258" i="3" s="1"/>
  <c r="R258" i="3" s="1"/>
  <c r="S258" i="3"/>
  <c r="P258" i="3"/>
  <c r="P257" i="3" s="1"/>
  <c r="O258" i="3"/>
  <c r="O257" i="3" s="1"/>
  <c r="N258" i="3"/>
  <c r="N257" i="3"/>
  <c r="T256" i="3"/>
  <c r="S256" i="3"/>
  <c r="P256" i="3"/>
  <c r="R256" i="3" s="1"/>
  <c r="O256" i="3"/>
  <c r="N256" i="3"/>
  <c r="T255" i="3"/>
  <c r="S255" i="3"/>
  <c r="R255" i="3"/>
  <c r="R254" i="3" s="1"/>
  <c r="P255" i="3"/>
  <c r="O255" i="3"/>
  <c r="O254" i="3" s="1"/>
  <c r="N255" i="3"/>
  <c r="Q254" i="3"/>
  <c r="P254" i="3"/>
  <c r="N254" i="3"/>
  <c r="T253" i="3"/>
  <c r="Q253" i="3" s="1"/>
  <c r="S253" i="3"/>
  <c r="P253" i="3" s="1"/>
  <c r="O253" i="3"/>
  <c r="O249" i="3" s="1"/>
  <c r="O248" i="3" s="1"/>
  <c r="T252" i="3"/>
  <c r="S252" i="3"/>
  <c r="U252" i="3" s="1"/>
  <c r="Y252" i="3" s="1"/>
  <c r="R252" i="3"/>
  <c r="P252" i="3"/>
  <c r="O252" i="3"/>
  <c r="V252" i="3" s="1"/>
  <c r="U251" i="3"/>
  <c r="T251" i="3"/>
  <c r="S251" i="3"/>
  <c r="P251" i="3" s="1"/>
  <c r="Q251" i="3"/>
  <c r="R251" i="3" s="1"/>
  <c r="O251" i="3"/>
  <c r="N251" i="3"/>
  <c r="T250" i="3"/>
  <c r="Q250" i="3" s="1"/>
  <c r="S250" i="3"/>
  <c r="P250" i="3" s="1"/>
  <c r="O250" i="3"/>
  <c r="T247" i="3"/>
  <c r="S247" i="3"/>
  <c r="U247" i="3" s="1"/>
  <c r="R247" i="3"/>
  <c r="O247" i="3"/>
  <c r="T246" i="3"/>
  <c r="Q246" i="3" s="1"/>
  <c r="S246" i="3"/>
  <c r="O246" i="3"/>
  <c r="T245" i="3"/>
  <c r="S245" i="3"/>
  <c r="P245" i="3"/>
  <c r="R245" i="3" s="1"/>
  <c r="O245" i="3"/>
  <c r="T244" i="3"/>
  <c r="Q244" i="3" s="1"/>
  <c r="S244" i="3"/>
  <c r="O244" i="3"/>
  <c r="T243" i="3"/>
  <c r="S243" i="3"/>
  <c r="P243" i="3" s="1"/>
  <c r="Q243" i="3"/>
  <c r="O243" i="3"/>
  <c r="T242" i="3"/>
  <c r="Q242" i="3" s="1"/>
  <c r="S242" i="3"/>
  <c r="O242" i="3"/>
  <c r="T241" i="3"/>
  <c r="S241" i="3"/>
  <c r="P241" i="3"/>
  <c r="R241" i="3" s="1"/>
  <c r="O241" i="3"/>
  <c r="U240" i="3"/>
  <c r="T240" i="3"/>
  <c r="S240" i="3"/>
  <c r="P240" i="3" s="1"/>
  <c r="R240" i="3" s="1"/>
  <c r="X240" i="3" s="1"/>
  <c r="O240" i="3"/>
  <c r="T239" i="3"/>
  <c r="S239" i="3"/>
  <c r="O239" i="3"/>
  <c r="T238" i="3"/>
  <c r="S238" i="3"/>
  <c r="P238" i="3" s="1"/>
  <c r="O238" i="3"/>
  <c r="N238" i="3"/>
  <c r="O237" i="3"/>
  <c r="N237" i="3"/>
  <c r="S236" i="3"/>
  <c r="S235" i="3" s="1"/>
  <c r="T231" i="3"/>
  <c r="Q231" i="3" s="1"/>
  <c r="R231" i="3" s="1"/>
  <c r="S231" i="3"/>
  <c r="P231" i="3"/>
  <c r="O231" i="3"/>
  <c r="N231" i="3"/>
  <c r="T230" i="3"/>
  <c r="P230" i="3"/>
  <c r="U229" i="3"/>
  <c r="Y229" i="3" s="1"/>
  <c r="T229" i="3"/>
  <c r="Q229" i="3" s="1"/>
  <c r="R229" i="3" s="1"/>
  <c r="S229" i="3"/>
  <c r="P229" i="3" s="1"/>
  <c r="O229" i="3"/>
  <c r="N229" i="3"/>
  <c r="T228" i="3"/>
  <c r="S228" i="3"/>
  <c r="P228" i="3"/>
  <c r="O228" i="3"/>
  <c r="N228" i="3"/>
  <c r="T227" i="3"/>
  <c r="S227" i="3"/>
  <c r="P227" i="3"/>
  <c r="P226" i="3" s="1"/>
  <c r="P225" i="3" s="1"/>
  <c r="O227" i="3"/>
  <c r="N227" i="3"/>
  <c r="S226" i="3"/>
  <c r="T224" i="3"/>
  <c r="Q224" i="3" s="1"/>
  <c r="S224" i="3"/>
  <c r="U224" i="3" s="1"/>
  <c r="P224" i="3"/>
  <c r="R224" i="3" s="1"/>
  <c r="O224" i="3"/>
  <c r="N224" i="3"/>
  <c r="T223" i="3"/>
  <c r="Q223" i="3" s="1"/>
  <c r="S223" i="3"/>
  <c r="O223" i="3"/>
  <c r="N223" i="3"/>
  <c r="T222" i="3"/>
  <c r="Q222" i="3" s="1"/>
  <c r="S222" i="3"/>
  <c r="P222" i="3"/>
  <c r="R222" i="3" s="1"/>
  <c r="O222" i="3"/>
  <c r="N222" i="3"/>
  <c r="T221" i="3"/>
  <c r="Q221" i="3" s="1"/>
  <c r="R221" i="3" s="1"/>
  <c r="S221" i="3"/>
  <c r="P221" i="3"/>
  <c r="O221" i="3"/>
  <c r="O220" i="3" s="1"/>
  <c r="N221" i="3"/>
  <c r="U214" i="3"/>
  <c r="R214" i="3"/>
  <c r="X214" i="3" s="1"/>
  <c r="U212" i="3"/>
  <c r="R212" i="3"/>
  <c r="T211" i="3"/>
  <c r="T210" i="3" s="1"/>
  <c r="T209" i="3" s="1"/>
  <c r="S211" i="3"/>
  <c r="U211" i="3" s="1"/>
  <c r="R211" i="3"/>
  <c r="P211" i="3"/>
  <c r="O211" i="3"/>
  <c r="O210" i="3" s="1"/>
  <c r="Q210" i="3"/>
  <c r="P210" i="3"/>
  <c r="P209" i="3" s="1"/>
  <c r="R209" i="3" s="1"/>
  <c r="Q209" i="3"/>
  <c r="T208" i="3"/>
  <c r="S208" i="3"/>
  <c r="P208" i="3"/>
  <c r="R208" i="3" s="1"/>
  <c r="O208" i="3"/>
  <c r="T207" i="3"/>
  <c r="S207" i="3"/>
  <c r="P207" i="3"/>
  <c r="O207" i="3"/>
  <c r="S206" i="3"/>
  <c r="Q206" i="3"/>
  <c r="Q205" i="3" s="1"/>
  <c r="S205" i="3"/>
  <c r="T204" i="3"/>
  <c r="Q204" i="3" s="1"/>
  <c r="P204" i="3"/>
  <c r="O204" i="3"/>
  <c r="N204" i="3"/>
  <c r="T203" i="3"/>
  <c r="S203" i="3"/>
  <c r="R203" i="3"/>
  <c r="P203" i="3"/>
  <c r="O203" i="3"/>
  <c r="N203" i="3"/>
  <c r="T202" i="3"/>
  <c r="U202" i="3" s="1"/>
  <c r="Y202" i="3" s="1"/>
  <c r="S202" i="3"/>
  <c r="R202" i="3"/>
  <c r="P202" i="3"/>
  <c r="O202" i="3"/>
  <c r="N202" i="3"/>
  <c r="T201" i="3"/>
  <c r="S201" i="3"/>
  <c r="R201" i="3"/>
  <c r="P201" i="3"/>
  <c r="O201" i="3"/>
  <c r="N201" i="3"/>
  <c r="U200" i="3"/>
  <c r="R200" i="3"/>
  <c r="O200" i="3"/>
  <c r="N200" i="3"/>
  <c r="S199" i="3"/>
  <c r="Q199" i="3"/>
  <c r="Q198" i="3" s="1"/>
  <c r="P199" i="3"/>
  <c r="X197" i="3"/>
  <c r="Q197" i="3"/>
  <c r="O197" i="3"/>
  <c r="V197" i="3" s="1"/>
  <c r="N197" i="3"/>
  <c r="T196" i="3"/>
  <c r="S196" i="3"/>
  <c r="R196" i="3"/>
  <c r="P196" i="3"/>
  <c r="O196" i="3"/>
  <c r="N196" i="3"/>
  <c r="T195" i="3"/>
  <c r="S195" i="3"/>
  <c r="U195" i="3" s="1"/>
  <c r="P195" i="3"/>
  <c r="R195" i="3" s="1"/>
  <c r="O195" i="3"/>
  <c r="N195" i="3"/>
  <c r="T194" i="3"/>
  <c r="S194" i="3"/>
  <c r="U194" i="3" s="1"/>
  <c r="R194" i="3"/>
  <c r="P194" i="3"/>
  <c r="O194" i="3"/>
  <c r="N194" i="3"/>
  <c r="T193" i="3"/>
  <c r="S193" i="3"/>
  <c r="P193" i="3" s="1"/>
  <c r="R193" i="3" s="1"/>
  <c r="Q193" i="3"/>
  <c r="O193" i="3"/>
  <c r="N193" i="3"/>
  <c r="T192" i="3"/>
  <c r="Q192" i="3" s="1"/>
  <c r="S192" i="3"/>
  <c r="O192" i="3"/>
  <c r="N192" i="3"/>
  <c r="T191" i="3"/>
  <c r="S191" i="3"/>
  <c r="U191" i="3" s="1"/>
  <c r="Y191" i="3" s="1"/>
  <c r="Q191" i="3"/>
  <c r="P191" i="3"/>
  <c r="O191" i="3"/>
  <c r="N191" i="3"/>
  <c r="T190" i="3"/>
  <c r="S190" i="3"/>
  <c r="R190" i="3"/>
  <c r="P190" i="3"/>
  <c r="O190" i="3"/>
  <c r="N190" i="3"/>
  <c r="T189" i="3"/>
  <c r="U189" i="3" s="1"/>
  <c r="Y189" i="3" s="1"/>
  <c r="S189" i="3"/>
  <c r="P189" i="3" s="1"/>
  <c r="R189" i="3" s="1"/>
  <c r="O189" i="3"/>
  <c r="N189" i="3"/>
  <c r="T188" i="3"/>
  <c r="U188" i="3" s="1"/>
  <c r="Y188" i="3" s="1"/>
  <c r="S188" i="3"/>
  <c r="P188" i="3" s="1"/>
  <c r="Q188" i="3"/>
  <c r="O188" i="3"/>
  <c r="N188" i="3"/>
  <c r="U181" i="3"/>
  <c r="V181" i="3" s="1"/>
  <c r="R181" i="3"/>
  <c r="X181" i="3" s="1"/>
  <c r="T180" i="3"/>
  <c r="S180" i="3"/>
  <c r="S179" i="3" s="1"/>
  <c r="S178" i="3" s="1"/>
  <c r="R180" i="3"/>
  <c r="P180" i="3"/>
  <c r="O180" i="3"/>
  <c r="O179" i="3" s="1"/>
  <c r="O178" i="3" s="1"/>
  <c r="N180" i="3"/>
  <c r="R179" i="3"/>
  <c r="R178" i="3" s="1"/>
  <c r="Q179" i="3"/>
  <c r="P179" i="3"/>
  <c r="N179" i="3"/>
  <c r="Q178" i="3"/>
  <c r="P178" i="3"/>
  <c r="N178" i="3"/>
  <c r="T177" i="3"/>
  <c r="T176" i="3" s="1"/>
  <c r="S177" i="3"/>
  <c r="R177" i="3"/>
  <c r="P177" i="3"/>
  <c r="O177" i="3"/>
  <c r="N177" i="3"/>
  <c r="S176" i="3"/>
  <c r="S175" i="3" s="1"/>
  <c r="Q176" i="3"/>
  <c r="Q175" i="3" s="1"/>
  <c r="Q162" i="3" s="1"/>
  <c r="Q161" i="3" s="1"/>
  <c r="Q159" i="3" s="1"/>
  <c r="P176" i="3"/>
  <c r="O176" i="3"/>
  <c r="P175" i="3"/>
  <c r="T174" i="3"/>
  <c r="S174" i="3"/>
  <c r="R174" i="3"/>
  <c r="P174" i="3"/>
  <c r="O174" i="3"/>
  <c r="N174" i="3"/>
  <c r="T173" i="3"/>
  <c r="S173" i="3"/>
  <c r="U173" i="3" s="1"/>
  <c r="Y173" i="3" s="1"/>
  <c r="P173" i="3"/>
  <c r="P172" i="3" s="1"/>
  <c r="R172" i="3" s="1"/>
  <c r="O173" i="3"/>
  <c r="N173" i="3"/>
  <c r="Q172" i="3"/>
  <c r="T171" i="3"/>
  <c r="S171" i="3"/>
  <c r="R171" i="3"/>
  <c r="P171" i="3"/>
  <c r="O171" i="3"/>
  <c r="N171" i="3"/>
  <c r="T170" i="3"/>
  <c r="S170" i="3"/>
  <c r="U170" i="3" s="1"/>
  <c r="Y170" i="3" s="1"/>
  <c r="P170" i="3"/>
  <c r="O170" i="3"/>
  <c r="N170" i="3"/>
  <c r="S169" i="3"/>
  <c r="Q169" i="3"/>
  <c r="Q168" i="3"/>
  <c r="T167" i="3"/>
  <c r="S167" i="3"/>
  <c r="U167" i="3" s="1"/>
  <c r="R167" i="3"/>
  <c r="P167" i="3"/>
  <c r="O167" i="3"/>
  <c r="N167" i="3"/>
  <c r="T166" i="3"/>
  <c r="T164" i="3" s="1"/>
  <c r="T163" i="3" s="1"/>
  <c r="S166" i="3"/>
  <c r="U166" i="3" s="1"/>
  <c r="Y166" i="3" s="1"/>
  <c r="P166" i="3"/>
  <c r="R166" i="3" s="1"/>
  <c r="O166" i="3"/>
  <c r="N166" i="3"/>
  <c r="U165" i="3"/>
  <c r="Y165" i="3" s="1"/>
  <c r="T165" i="3"/>
  <c r="S165" i="3"/>
  <c r="P165" i="3"/>
  <c r="R165" i="3" s="1"/>
  <c r="O165" i="3"/>
  <c r="N165" i="3"/>
  <c r="AC164" i="3"/>
  <c r="Q164" i="3"/>
  <c r="Q163" i="3" s="1"/>
  <c r="V158" i="3"/>
  <c r="U158" i="3"/>
  <c r="R158" i="3"/>
  <c r="X158" i="3" s="1"/>
  <c r="V156" i="3"/>
  <c r="U156" i="3"/>
  <c r="R156" i="3"/>
  <c r="T155" i="3"/>
  <c r="T154" i="3" s="1"/>
  <c r="T153" i="3" s="1"/>
  <c r="T152" i="3" s="1"/>
  <c r="S155" i="3"/>
  <c r="U155" i="3" s="1"/>
  <c r="Y155" i="3" s="1"/>
  <c r="P155" i="3"/>
  <c r="O155" i="3"/>
  <c r="N155" i="3"/>
  <c r="P154" i="3"/>
  <c r="O154" i="3"/>
  <c r="O153" i="3" s="1"/>
  <c r="O152" i="3" s="1"/>
  <c r="N154" i="3"/>
  <c r="P153" i="3"/>
  <c r="N153" i="3"/>
  <c r="P152" i="3"/>
  <c r="N152" i="3"/>
  <c r="U151" i="3"/>
  <c r="T151" i="3"/>
  <c r="T150" i="3" s="1"/>
  <c r="O151" i="3"/>
  <c r="N151" i="3"/>
  <c r="O150" i="3"/>
  <c r="O149" i="3" s="1"/>
  <c r="O148" i="3" s="1"/>
  <c r="N150" i="3"/>
  <c r="N149" i="3"/>
  <c r="N148" i="3"/>
  <c r="N147" i="3"/>
  <c r="T146" i="3"/>
  <c r="S146" i="3"/>
  <c r="R146" i="3"/>
  <c r="P146" i="3"/>
  <c r="O146" i="3"/>
  <c r="O145" i="3" s="1"/>
  <c r="O144" i="3" s="1"/>
  <c r="N146" i="3"/>
  <c r="T145" i="3"/>
  <c r="T144" i="3" s="1"/>
  <c r="T143" i="3" s="1"/>
  <c r="Q145" i="3"/>
  <c r="Q144" i="3" s="1"/>
  <c r="P145" i="3"/>
  <c r="R145" i="3" s="1"/>
  <c r="Q143" i="3"/>
  <c r="U141" i="3"/>
  <c r="T140" i="3"/>
  <c r="U140" i="3" s="1"/>
  <c r="O140" i="3"/>
  <c r="V140" i="3" s="1"/>
  <c r="N140" i="3"/>
  <c r="T139" i="3"/>
  <c r="S139" i="3"/>
  <c r="U139" i="3" s="1"/>
  <c r="X139" i="3" s="1"/>
  <c r="R139" i="3"/>
  <c r="P139" i="3"/>
  <c r="O139" i="3"/>
  <c r="N139" i="3"/>
  <c r="U138" i="3"/>
  <c r="T138" i="3"/>
  <c r="S138" i="3"/>
  <c r="P138" i="3"/>
  <c r="O138" i="3"/>
  <c r="N138" i="3"/>
  <c r="T137" i="3"/>
  <c r="S137" i="3"/>
  <c r="R137" i="3"/>
  <c r="P137" i="3"/>
  <c r="O137" i="3"/>
  <c r="N137" i="3"/>
  <c r="Q136" i="3"/>
  <c r="Q135" i="3" s="1"/>
  <c r="Q134" i="3" s="1"/>
  <c r="Q133" i="3" s="1"/>
  <c r="AC135" i="3"/>
  <c r="W134" i="3"/>
  <c r="W133" i="3" s="1"/>
  <c r="V132" i="3"/>
  <c r="U132" i="3"/>
  <c r="R132" i="3"/>
  <c r="W132" i="3" s="1"/>
  <c r="T131" i="3"/>
  <c r="S131" i="3"/>
  <c r="U131" i="3" s="1"/>
  <c r="Y131" i="3" s="1"/>
  <c r="P131" i="3"/>
  <c r="O131" i="3"/>
  <c r="N131" i="3"/>
  <c r="T130" i="3"/>
  <c r="S130" i="3"/>
  <c r="R130" i="3"/>
  <c r="P130" i="3"/>
  <c r="O130" i="3"/>
  <c r="N130" i="3"/>
  <c r="Q129" i="3"/>
  <c r="AC128" i="3"/>
  <c r="Q128" i="3"/>
  <c r="T127" i="3"/>
  <c r="T126" i="3" s="1"/>
  <c r="T125" i="3" s="1"/>
  <c r="S127" i="3"/>
  <c r="U127" i="3" s="1"/>
  <c r="X127" i="3" s="1"/>
  <c r="R127" i="3"/>
  <c r="P127" i="3"/>
  <c r="O127" i="3"/>
  <c r="N127" i="3"/>
  <c r="R126" i="3"/>
  <c r="Q126" i="3"/>
  <c r="P126" i="3"/>
  <c r="Q125" i="3"/>
  <c r="P125" i="3"/>
  <c r="R125" i="3" s="1"/>
  <c r="T124" i="3"/>
  <c r="S124" i="3"/>
  <c r="R124" i="3"/>
  <c r="P124" i="3"/>
  <c r="O124" i="3"/>
  <c r="N124" i="3"/>
  <c r="T123" i="3"/>
  <c r="U123" i="3" s="1"/>
  <c r="S123" i="3"/>
  <c r="R123" i="3"/>
  <c r="P123" i="3"/>
  <c r="P122" i="3" s="1"/>
  <c r="O123" i="3"/>
  <c r="N123" i="3"/>
  <c r="AC122" i="3"/>
  <c r="AC123" i="3" s="1"/>
  <c r="Q122" i="3"/>
  <c r="Q121" i="3" s="1"/>
  <c r="O122" i="3"/>
  <c r="O121" i="3"/>
  <c r="Q120" i="3"/>
  <c r="Q119" i="3" s="1"/>
  <c r="W119" i="3"/>
  <c r="V118" i="3"/>
  <c r="U118" i="3"/>
  <c r="R118" i="3"/>
  <c r="X118" i="3" s="1"/>
  <c r="W117" i="3"/>
  <c r="V116" i="3"/>
  <c r="U116" i="3"/>
  <c r="R116" i="3"/>
  <c r="X116" i="3" s="1"/>
  <c r="T115" i="3"/>
  <c r="S115" i="3"/>
  <c r="U115" i="3" s="1"/>
  <c r="X115" i="3" s="1"/>
  <c r="R115" i="3"/>
  <c r="P115" i="3"/>
  <c r="O115" i="3"/>
  <c r="N115" i="3"/>
  <c r="T114" i="3"/>
  <c r="T113" i="3" s="1"/>
  <c r="S114" i="3"/>
  <c r="U114" i="3" s="1"/>
  <c r="Y114" i="3" s="1"/>
  <c r="P114" i="3"/>
  <c r="O114" i="3"/>
  <c r="O113" i="3" s="1"/>
  <c r="N114" i="3"/>
  <c r="S113" i="3"/>
  <c r="Q113" i="3"/>
  <c r="U112" i="3"/>
  <c r="T112" i="3"/>
  <c r="S112" i="3"/>
  <c r="P112" i="3"/>
  <c r="R112" i="3" s="1"/>
  <c r="X112" i="3" s="1"/>
  <c r="O112" i="3"/>
  <c r="N112" i="3"/>
  <c r="T111" i="3"/>
  <c r="S111" i="3"/>
  <c r="R111" i="3"/>
  <c r="P111" i="3"/>
  <c r="O111" i="3"/>
  <c r="N111" i="3"/>
  <c r="T110" i="3"/>
  <c r="S110" i="3"/>
  <c r="U110" i="3" s="1"/>
  <c r="Y110" i="3" s="1"/>
  <c r="P110" i="3"/>
  <c r="R110" i="3" s="1"/>
  <c r="O110" i="3"/>
  <c r="N110" i="3"/>
  <c r="T109" i="3"/>
  <c r="S109" i="3"/>
  <c r="R109" i="3"/>
  <c r="P109" i="3"/>
  <c r="O109" i="3"/>
  <c r="N109" i="3"/>
  <c r="Q108" i="3"/>
  <c r="Q107" i="3" s="1"/>
  <c r="Q106" i="3" s="1"/>
  <c r="V105" i="3"/>
  <c r="U105" i="3"/>
  <c r="Q105" i="3"/>
  <c r="R105" i="3" s="1"/>
  <c r="X105" i="3" s="1"/>
  <c r="T104" i="3"/>
  <c r="S104" i="3"/>
  <c r="U104" i="3" s="1"/>
  <c r="Y104" i="3" s="1"/>
  <c r="P104" i="3"/>
  <c r="R104" i="3" s="1"/>
  <c r="O104" i="3"/>
  <c r="AE103" i="3"/>
  <c r="T103" i="3"/>
  <c r="S103" i="3"/>
  <c r="U103" i="3" s="1"/>
  <c r="R103" i="3"/>
  <c r="P103" i="3"/>
  <c r="O103" i="3"/>
  <c r="T102" i="3"/>
  <c r="T101" i="3" s="1"/>
  <c r="T100" i="3" s="1"/>
  <c r="T99" i="3" s="1"/>
  <c r="S102" i="3"/>
  <c r="R102" i="3"/>
  <c r="P102" i="3"/>
  <c r="O102" i="3"/>
  <c r="R101" i="3"/>
  <c r="Q101" i="3"/>
  <c r="P101" i="3"/>
  <c r="P100" i="3" s="1"/>
  <c r="Q100" i="3"/>
  <c r="Q99" i="3" s="1"/>
  <c r="U98" i="3"/>
  <c r="V98" i="3" s="1"/>
  <c r="R98" i="3"/>
  <c r="W98" i="3" s="1"/>
  <c r="T97" i="3"/>
  <c r="T96" i="3" s="1"/>
  <c r="T95" i="3" s="1"/>
  <c r="T94" i="3" s="1"/>
  <c r="T93" i="3" s="1"/>
  <c r="S97" i="3"/>
  <c r="P97" i="3"/>
  <c r="P96" i="3" s="1"/>
  <c r="O97" i="3"/>
  <c r="N97" i="3"/>
  <c r="S96" i="3"/>
  <c r="Q96" i="3"/>
  <c r="Q95" i="3"/>
  <c r="Q94" i="3" s="1"/>
  <c r="Q93" i="3"/>
  <c r="R92" i="3"/>
  <c r="T89" i="3"/>
  <c r="U89" i="3" s="1"/>
  <c r="R89" i="3"/>
  <c r="O89" i="3"/>
  <c r="O88" i="3" s="1"/>
  <c r="N89" i="3"/>
  <c r="S88" i="3"/>
  <c r="Q88" i="3"/>
  <c r="P88" i="3"/>
  <c r="R88" i="3" s="1"/>
  <c r="N88" i="3"/>
  <c r="T87" i="3"/>
  <c r="T86" i="3" s="1"/>
  <c r="S87" i="3"/>
  <c r="U87" i="3" s="1"/>
  <c r="R87" i="3"/>
  <c r="O87" i="3"/>
  <c r="N87" i="3"/>
  <c r="R86" i="3"/>
  <c r="Q86" i="3"/>
  <c r="P86" i="3"/>
  <c r="O86" i="3"/>
  <c r="N86" i="3"/>
  <c r="Q85" i="3"/>
  <c r="N85" i="3"/>
  <c r="T84" i="3"/>
  <c r="U84" i="3" s="1"/>
  <c r="Y84" i="3" s="1"/>
  <c r="R84" i="3"/>
  <c r="O84" i="3"/>
  <c r="N84" i="3"/>
  <c r="T83" i="3"/>
  <c r="U83" i="3" s="1"/>
  <c r="R83" i="3"/>
  <c r="O83" i="3"/>
  <c r="O82" i="3" s="1"/>
  <c r="O81" i="3" s="1"/>
  <c r="N83" i="3"/>
  <c r="S82" i="3"/>
  <c r="Q82" i="3"/>
  <c r="R82" i="3" s="1"/>
  <c r="P82" i="3"/>
  <c r="N82" i="3"/>
  <c r="S81" i="3"/>
  <c r="Q81" i="3"/>
  <c r="Q80" i="3" s="1"/>
  <c r="P81" i="3"/>
  <c r="N81" i="3"/>
  <c r="N80" i="3"/>
  <c r="Q79" i="3"/>
  <c r="Q78" i="3" s="1"/>
  <c r="Q76" i="3" s="1"/>
  <c r="N79" i="3"/>
  <c r="N76" i="3"/>
  <c r="U75" i="3"/>
  <c r="V75" i="3" s="1"/>
  <c r="R75" i="3"/>
  <c r="W75" i="3" s="1"/>
  <c r="T74" i="3"/>
  <c r="T73" i="3" s="1"/>
  <c r="S74" i="3"/>
  <c r="S73" i="3" s="1"/>
  <c r="S72" i="3" s="1"/>
  <c r="P74" i="3"/>
  <c r="P73" i="3" s="1"/>
  <c r="P72" i="3" s="1"/>
  <c r="P69" i="3" s="1"/>
  <c r="P68" i="3" s="1"/>
  <c r="P67" i="3" s="1"/>
  <c r="O74" i="3"/>
  <c r="Q73" i="3"/>
  <c r="T72" i="3"/>
  <c r="Q72" i="3"/>
  <c r="Q69" i="3" s="1"/>
  <c r="Q68" i="3" s="1"/>
  <c r="Q67" i="3" s="1"/>
  <c r="T71" i="3"/>
  <c r="T70" i="3" s="1"/>
  <c r="T69" i="3" s="1"/>
  <c r="T68" i="3" s="1"/>
  <c r="T67" i="3" s="1"/>
  <c r="S71" i="3"/>
  <c r="R71" i="3"/>
  <c r="P71" i="3"/>
  <c r="O71" i="3"/>
  <c r="S70" i="3"/>
  <c r="R70" i="3"/>
  <c r="Q70" i="3"/>
  <c r="P70" i="3"/>
  <c r="O70" i="3"/>
  <c r="AE67" i="3"/>
  <c r="U66" i="3"/>
  <c r="V66" i="3" s="1"/>
  <c r="R66" i="3"/>
  <c r="X66" i="3" s="1"/>
  <c r="T65" i="3"/>
  <c r="T64" i="3" s="1"/>
  <c r="T63" i="3" s="1"/>
  <c r="T62" i="3" s="1"/>
  <c r="T61" i="3" s="1"/>
  <c r="S65" i="3"/>
  <c r="R65" i="3"/>
  <c r="P65" i="3"/>
  <c r="O65" i="3"/>
  <c r="N65" i="3"/>
  <c r="S64" i="3"/>
  <c r="Q64" i="3"/>
  <c r="P64" i="3"/>
  <c r="R64" i="3" s="1"/>
  <c r="Q63" i="3"/>
  <c r="Q62" i="3" s="1"/>
  <c r="Q61" i="3" s="1"/>
  <c r="P63" i="3"/>
  <c r="R63" i="3" s="1"/>
  <c r="P62" i="3"/>
  <c r="R62" i="3" s="1"/>
  <c r="X60" i="3"/>
  <c r="W60" i="3"/>
  <c r="V60" i="3"/>
  <c r="R60" i="3"/>
  <c r="T59" i="3"/>
  <c r="T58" i="3" s="1"/>
  <c r="T57" i="3" s="1"/>
  <c r="S59" i="3"/>
  <c r="R59" i="3"/>
  <c r="P59" i="3"/>
  <c r="O59" i="3"/>
  <c r="S58" i="3"/>
  <c r="Q58" i="3"/>
  <c r="P58" i="3"/>
  <c r="S57" i="3"/>
  <c r="U57" i="3" s="1"/>
  <c r="Q57" i="3"/>
  <c r="V56" i="3"/>
  <c r="O56" i="3"/>
  <c r="N56" i="3"/>
  <c r="T55" i="3"/>
  <c r="S55" i="3"/>
  <c r="R55" i="3"/>
  <c r="P55" i="3"/>
  <c r="O55" i="3"/>
  <c r="N55" i="3"/>
  <c r="U54" i="3"/>
  <c r="Y54" i="3" s="1"/>
  <c r="S54" i="3"/>
  <c r="P54" i="3"/>
  <c r="R54" i="3" s="1"/>
  <c r="W54" i="3" s="1"/>
  <c r="W46" i="3" s="1"/>
  <c r="W38" i="3" s="1"/>
  <c r="O54" i="3"/>
  <c r="V54" i="3" s="1"/>
  <c r="N54" i="3"/>
  <c r="U53" i="3"/>
  <c r="Y53" i="3" s="1"/>
  <c r="T53" i="3"/>
  <c r="S53" i="3"/>
  <c r="R53" i="3"/>
  <c r="P53" i="3"/>
  <c r="O53" i="3"/>
  <c r="N53" i="3"/>
  <c r="U52" i="3"/>
  <c r="P52" i="3"/>
  <c r="P49" i="3" s="1"/>
  <c r="O52" i="3"/>
  <c r="V52" i="3" s="1"/>
  <c r="N52" i="3"/>
  <c r="T51" i="3"/>
  <c r="S51" i="3"/>
  <c r="R51" i="3"/>
  <c r="P51" i="3"/>
  <c r="O51" i="3"/>
  <c r="N51" i="3"/>
  <c r="T50" i="3"/>
  <c r="T49" i="3" s="1"/>
  <c r="T48" i="3" s="1"/>
  <c r="S50" i="3"/>
  <c r="S49" i="3" s="1"/>
  <c r="P50" i="3"/>
  <c r="R50" i="3" s="1"/>
  <c r="O50" i="3"/>
  <c r="N50" i="3"/>
  <c r="Q49" i="3"/>
  <c r="Q48" i="3"/>
  <c r="X45" i="3"/>
  <c r="U45" i="3"/>
  <c r="V45" i="3" s="1"/>
  <c r="R45" i="3"/>
  <c r="W45" i="3" s="1"/>
  <c r="T44" i="3"/>
  <c r="T43" i="3" s="1"/>
  <c r="T42" i="3" s="1"/>
  <c r="T41" i="3" s="1"/>
  <c r="T40" i="3" s="1"/>
  <c r="S44" i="3"/>
  <c r="S43" i="3" s="1"/>
  <c r="P44" i="3"/>
  <c r="P43" i="3" s="1"/>
  <c r="P42" i="3" s="1"/>
  <c r="O44" i="3"/>
  <c r="R43" i="3"/>
  <c r="Q43" i="3"/>
  <c r="Q42" i="3"/>
  <c r="Q41" i="3"/>
  <c r="Q40" i="3" s="1"/>
  <c r="P39" i="3"/>
  <c r="R39" i="3" s="1"/>
  <c r="U37" i="3"/>
  <c r="T36" i="3"/>
  <c r="T35" i="3" s="1"/>
  <c r="T34" i="3" s="1"/>
  <c r="S36" i="3"/>
  <c r="P36" i="3"/>
  <c r="O36" i="3"/>
  <c r="O35" i="3" s="1"/>
  <c r="T33" i="3"/>
  <c r="S33" i="3"/>
  <c r="U33" i="3" s="1"/>
  <c r="V33" i="3" s="1"/>
  <c r="R33" i="3"/>
  <c r="P33" i="3"/>
  <c r="O33" i="3"/>
  <c r="AE32" i="3"/>
  <c r="T32" i="3"/>
  <c r="U32" i="3" s="1"/>
  <c r="Y32" i="3" s="1"/>
  <c r="S32" i="3"/>
  <c r="R32" i="3"/>
  <c r="P32" i="3"/>
  <c r="O32" i="3"/>
  <c r="T31" i="3"/>
  <c r="S31" i="3"/>
  <c r="Q31" i="3"/>
  <c r="P31" i="3"/>
  <c r="R31" i="3" s="1"/>
  <c r="O31" i="3"/>
  <c r="T30" i="3"/>
  <c r="S30" i="3"/>
  <c r="P30" i="3"/>
  <c r="R30" i="3" s="1"/>
  <c r="O30" i="3"/>
  <c r="U29" i="3"/>
  <c r="T29" i="3"/>
  <c r="S29" i="3"/>
  <c r="P29" i="3"/>
  <c r="R29" i="3" s="1"/>
  <c r="O29" i="3"/>
  <c r="T28" i="3"/>
  <c r="S28" i="3"/>
  <c r="R28" i="3"/>
  <c r="P28" i="3"/>
  <c r="O28" i="3"/>
  <c r="AE27" i="3"/>
  <c r="T27" i="3"/>
  <c r="S27" i="3"/>
  <c r="U27" i="3" s="1"/>
  <c r="Y27" i="3" s="1"/>
  <c r="P27" i="3"/>
  <c r="R27" i="3" s="1"/>
  <c r="O27" i="3"/>
  <c r="U26" i="3"/>
  <c r="Y26" i="3" s="1"/>
  <c r="T26" i="3"/>
  <c r="S26" i="3"/>
  <c r="P26" i="3"/>
  <c r="R26" i="3" s="1"/>
  <c r="O26" i="3"/>
  <c r="T25" i="3"/>
  <c r="S25" i="3"/>
  <c r="R25" i="3"/>
  <c r="P25" i="3"/>
  <c r="O25" i="3"/>
  <c r="T24" i="3"/>
  <c r="S24" i="3"/>
  <c r="U24" i="3" s="1"/>
  <c r="Y24" i="3" s="1"/>
  <c r="P24" i="3"/>
  <c r="R24" i="3" s="1"/>
  <c r="O24" i="3"/>
  <c r="T23" i="3"/>
  <c r="T22" i="3" s="1"/>
  <c r="T21" i="3" s="1"/>
  <c r="T19" i="3" s="1"/>
  <c r="Q23" i="3"/>
  <c r="P23" i="3"/>
  <c r="R23" i="3" s="1"/>
  <c r="AE20" i="3"/>
  <c r="O4" i="3"/>
  <c r="Y123" i="3" l="1"/>
  <c r="V123" i="3"/>
  <c r="T175" i="3"/>
  <c r="U175" i="3" s="1"/>
  <c r="U176" i="3"/>
  <c r="Y176" i="3" s="1"/>
  <c r="U43" i="3"/>
  <c r="X43" i="3" s="1"/>
  <c r="S42" i="3"/>
  <c r="U42" i="3" s="1"/>
  <c r="X193" i="3"/>
  <c r="V27" i="3"/>
  <c r="X222" i="3"/>
  <c r="X298" i="3"/>
  <c r="W27" i="3"/>
  <c r="W33" i="3"/>
  <c r="U71" i="3"/>
  <c r="U97" i="3"/>
  <c r="Y97" i="3" s="1"/>
  <c r="T108" i="3"/>
  <c r="Y140" i="3"/>
  <c r="S172" i="3"/>
  <c r="U180" i="3"/>
  <c r="Y180" i="3" s="1"/>
  <c r="U192" i="3"/>
  <c r="Y192" i="3" s="1"/>
  <c r="U193" i="3"/>
  <c r="U196" i="3"/>
  <c r="U222" i="3"/>
  <c r="X247" i="3"/>
  <c r="U256" i="3"/>
  <c r="Y256" i="3" s="1"/>
  <c r="X262" i="3"/>
  <c r="V265" i="3"/>
  <c r="U308" i="3"/>
  <c r="V308" i="3" s="1"/>
  <c r="V282" i="3"/>
  <c r="O49" i="3"/>
  <c r="O48" i="3" s="1"/>
  <c r="T122" i="3"/>
  <c r="T121" i="3" s="1"/>
  <c r="S154" i="3"/>
  <c r="X166" i="3"/>
  <c r="V170" i="3"/>
  <c r="T172" i="3"/>
  <c r="Y211" i="3"/>
  <c r="U245" i="3"/>
  <c r="Y245" i="3" s="1"/>
  <c r="X252" i="3"/>
  <c r="Q257" i="3"/>
  <c r="R257" i="3" s="1"/>
  <c r="X261" i="3"/>
  <c r="T272" i="3"/>
  <c r="T271" i="3" s="1"/>
  <c r="X282" i="3"/>
  <c r="S293" i="3"/>
  <c r="U298" i="3"/>
  <c r="Y298" i="3" s="1"/>
  <c r="R310" i="3"/>
  <c r="X71" i="3"/>
  <c r="V173" i="3"/>
  <c r="Y83" i="3"/>
  <c r="W224" i="3"/>
  <c r="V261" i="3"/>
  <c r="U30" i="3"/>
  <c r="Y30" i="3" s="1"/>
  <c r="W26" i="3"/>
  <c r="W29" i="3"/>
  <c r="V31" i="3"/>
  <c r="Y33" i="3"/>
  <c r="R44" i="3"/>
  <c r="U50" i="3"/>
  <c r="Y50" i="3" s="1"/>
  <c r="S69" i="3"/>
  <c r="S68" i="3" s="1"/>
  <c r="S67" i="3" s="1"/>
  <c r="V84" i="3"/>
  <c r="Y89" i="3"/>
  <c r="W102" i="3"/>
  <c r="U171" i="3"/>
  <c r="Y171" i="3" s="1"/>
  <c r="S187" i="3"/>
  <c r="S186" i="3" s="1"/>
  <c r="V189" i="3"/>
  <c r="T199" i="3"/>
  <c r="T198" i="3" s="1"/>
  <c r="U241" i="3"/>
  <c r="Y241" i="3" s="1"/>
  <c r="U243" i="3"/>
  <c r="V243" i="3" s="1"/>
  <c r="S249" i="3"/>
  <c r="T277" i="3"/>
  <c r="T270" i="3" s="1"/>
  <c r="T269" i="3" s="1"/>
  <c r="T267" i="3" s="1"/>
  <c r="X284" i="3"/>
  <c r="T307" i="3"/>
  <c r="T306" i="3" s="1"/>
  <c r="T305" i="3" s="1"/>
  <c r="T304" i="3" s="1"/>
  <c r="Y309" i="3"/>
  <c r="X317" i="3"/>
  <c r="W24" i="3"/>
  <c r="Y247" i="3"/>
  <c r="Y262" i="3"/>
  <c r="W31" i="3"/>
  <c r="X53" i="3"/>
  <c r="X89" i="3"/>
  <c r="V97" i="3"/>
  <c r="U102" i="3"/>
  <c r="X165" i="3"/>
  <c r="U190" i="3"/>
  <c r="U204" i="3"/>
  <c r="V208" i="3"/>
  <c r="P264" i="3"/>
  <c r="P263" i="3" s="1"/>
  <c r="R263" i="3" s="1"/>
  <c r="X263" i="3" s="1"/>
  <c r="O278" i="3"/>
  <c r="U279" i="3"/>
  <c r="Y279" i="3" s="1"/>
  <c r="O281" i="3"/>
  <c r="U284" i="3"/>
  <c r="Y284" i="3" s="1"/>
  <c r="X309" i="3"/>
  <c r="U310" i="3"/>
  <c r="V310" i="3" s="1"/>
  <c r="X123" i="3"/>
  <c r="U250" i="3"/>
  <c r="V250" i="3" s="1"/>
  <c r="O101" i="3"/>
  <c r="O108" i="3"/>
  <c r="O107" i="3" s="1"/>
  <c r="Y112" i="3"/>
  <c r="T129" i="3"/>
  <c r="T128" i="3" s="1"/>
  <c r="T136" i="3"/>
  <c r="T135" i="3" s="1"/>
  <c r="T134" i="3" s="1"/>
  <c r="T133" i="3" s="1"/>
  <c r="R155" i="3"/>
  <c r="O169" i="3"/>
  <c r="T169" i="3"/>
  <c r="U169" i="3" s="1"/>
  <c r="Y169" i="3" s="1"/>
  <c r="O187" i="3"/>
  <c r="Y200" i="3"/>
  <c r="O199" i="3"/>
  <c r="X203" i="3"/>
  <c r="S210" i="3"/>
  <c r="U238" i="3"/>
  <c r="Y238" i="3" s="1"/>
  <c r="S264" i="3"/>
  <c r="S263" i="3" s="1"/>
  <c r="U263" i="3" s="1"/>
  <c r="R281" i="3"/>
  <c r="Y29" i="3"/>
  <c r="U31" i="3"/>
  <c r="Y31" i="3" s="1"/>
  <c r="U36" i="3"/>
  <c r="Y36" i="3" s="1"/>
  <c r="O73" i="3"/>
  <c r="U74" i="3"/>
  <c r="U111" i="3"/>
  <c r="X111" i="3" s="1"/>
  <c r="Y138" i="3"/>
  <c r="Q155" i="3"/>
  <c r="Q154" i="3" s="1"/>
  <c r="U203" i="3"/>
  <c r="Y203" i="3" s="1"/>
  <c r="U208" i="3"/>
  <c r="V222" i="3"/>
  <c r="X260" i="3"/>
  <c r="S281" i="3"/>
  <c r="U281" i="3" s="1"/>
  <c r="Y281" i="3" s="1"/>
  <c r="V298" i="3"/>
  <c r="O315" i="3"/>
  <c r="Y87" i="3"/>
  <c r="X87" i="3"/>
  <c r="Y103" i="3"/>
  <c r="W103" i="3"/>
  <c r="V103" i="3"/>
  <c r="O34" i="3"/>
  <c r="U58" i="3"/>
  <c r="P95" i="3"/>
  <c r="R96" i="3"/>
  <c r="P99" i="3"/>
  <c r="R99" i="3" s="1"/>
  <c r="R100" i="3"/>
  <c r="O100" i="3"/>
  <c r="O106" i="3"/>
  <c r="V28" i="3"/>
  <c r="T47" i="3"/>
  <c r="T46" i="3" s="1"/>
  <c r="T38" i="3" s="1"/>
  <c r="R49" i="3"/>
  <c r="P48" i="3"/>
  <c r="Q91" i="3"/>
  <c r="V30" i="3"/>
  <c r="W30" i="3"/>
  <c r="V32" i="3"/>
  <c r="Y71" i="3"/>
  <c r="U70" i="3"/>
  <c r="V70" i="3" s="1"/>
  <c r="V71" i="3"/>
  <c r="V87" i="3"/>
  <c r="O85" i="3"/>
  <c r="O80" i="3" s="1"/>
  <c r="O58" i="3"/>
  <c r="S86" i="3"/>
  <c r="S23" i="3"/>
  <c r="U25" i="3"/>
  <c r="W25" i="3" s="1"/>
  <c r="P35" i="3"/>
  <c r="O43" i="3"/>
  <c r="U51" i="3"/>
  <c r="X51" i="3" s="1"/>
  <c r="R52" i="3"/>
  <c r="X52" i="3" s="1"/>
  <c r="U55" i="3"/>
  <c r="P57" i="3"/>
  <c r="R57" i="3" s="1"/>
  <c r="X57" i="3" s="1"/>
  <c r="R58" i="3"/>
  <c r="U65" i="3"/>
  <c r="Y65" i="3" s="1"/>
  <c r="R74" i="3"/>
  <c r="T82" i="3"/>
  <c r="S95" i="3"/>
  <c r="U96" i="3"/>
  <c r="R97" i="3"/>
  <c r="X97" i="3" s="1"/>
  <c r="V114" i="3"/>
  <c r="U124" i="3"/>
  <c r="S122" i="3"/>
  <c r="V131" i="3"/>
  <c r="X132" i="3"/>
  <c r="S136" i="3"/>
  <c r="S135" i="3" s="1"/>
  <c r="S134" i="3" s="1"/>
  <c r="S133" i="3" s="1"/>
  <c r="U137" i="3"/>
  <c r="U28" i="3"/>
  <c r="W32" i="3"/>
  <c r="Q36" i="3"/>
  <c r="Q35" i="3" s="1"/>
  <c r="Q34" i="3" s="1"/>
  <c r="Q22" i="3" s="1"/>
  <c r="Q21" i="3" s="1"/>
  <c r="Q19" i="3" s="1"/>
  <c r="P41" i="3"/>
  <c r="R42" i="3"/>
  <c r="X42" i="3" s="1"/>
  <c r="O64" i="3"/>
  <c r="X75" i="3"/>
  <c r="V83" i="3"/>
  <c r="X98" i="3"/>
  <c r="V104" i="3"/>
  <c r="R114" i="3"/>
  <c r="X114" i="3" s="1"/>
  <c r="P113" i="3"/>
  <c r="R113" i="3" s="1"/>
  <c r="Y115" i="3"/>
  <c r="V115" i="3"/>
  <c r="T120" i="3"/>
  <c r="T119" i="3" s="1"/>
  <c r="Y127" i="3"/>
  <c r="O129" i="3"/>
  <c r="P129" i="3"/>
  <c r="R131" i="3"/>
  <c r="X131" i="3" s="1"/>
  <c r="O143" i="3"/>
  <c r="P147" i="3"/>
  <c r="O186" i="3"/>
  <c r="Y194" i="3"/>
  <c r="X194" i="3"/>
  <c r="V194" i="3"/>
  <c r="O198" i="3"/>
  <c r="U59" i="3"/>
  <c r="T88" i="3"/>
  <c r="T85" i="3" s="1"/>
  <c r="V89" i="3"/>
  <c r="W104" i="3"/>
  <c r="W105" i="3"/>
  <c r="X110" i="3"/>
  <c r="V53" i="3"/>
  <c r="V26" i="3"/>
  <c r="S35" i="3"/>
  <c r="P61" i="3"/>
  <c r="R61" i="3" s="1"/>
  <c r="X141" i="3"/>
  <c r="W141" i="3"/>
  <c r="V141" i="3"/>
  <c r="U150" i="3"/>
  <c r="T149" i="3"/>
  <c r="V29" i="3"/>
  <c r="S41" i="3"/>
  <c r="U44" i="3"/>
  <c r="Y44" i="3" s="1"/>
  <c r="Q47" i="3"/>
  <c r="Q46" i="3" s="1"/>
  <c r="Q38" i="3" s="1"/>
  <c r="R81" i="3"/>
  <c r="P85" i="3"/>
  <c r="O96" i="3"/>
  <c r="S101" i="3"/>
  <c r="P108" i="3"/>
  <c r="U109" i="3"/>
  <c r="S108" i="3"/>
  <c r="T107" i="3"/>
  <c r="T106" i="3" s="1"/>
  <c r="T91" i="3" s="1"/>
  <c r="V127" i="3"/>
  <c r="O126" i="3"/>
  <c r="U130" i="3"/>
  <c r="V130" i="3" s="1"/>
  <c r="V138" i="3"/>
  <c r="O147" i="3"/>
  <c r="Y151" i="3"/>
  <c r="V151" i="3"/>
  <c r="U172" i="3"/>
  <c r="X172" i="3" s="1"/>
  <c r="S168" i="3"/>
  <c r="V193" i="3"/>
  <c r="Y193" i="3"/>
  <c r="Y196" i="3"/>
  <c r="X196" i="3"/>
  <c r="V196" i="3"/>
  <c r="S63" i="3"/>
  <c r="U64" i="3"/>
  <c r="X64" i="3" s="1"/>
  <c r="W66" i="3"/>
  <c r="X84" i="3"/>
  <c r="U113" i="3"/>
  <c r="Y113" i="3" s="1"/>
  <c r="P136" i="3"/>
  <c r="P135" i="3" s="1"/>
  <c r="P134" i="3" s="1"/>
  <c r="P133" i="3" s="1"/>
  <c r="R138" i="3"/>
  <c r="X138" i="3" s="1"/>
  <c r="V139" i="3"/>
  <c r="Y139" i="3"/>
  <c r="S145" i="3"/>
  <c r="U146" i="3"/>
  <c r="U199" i="3"/>
  <c r="Y199" i="3" s="1"/>
  <c r="X201" i="3"/>
  <c r="V24" i="3"/>
  <c r="O23" i="3"/>
  <c r="U49" i="3"/>
  <c r="Y49" i="3" s="1"/>
  <c r="S48" i="3"/>
  <c r="X83" i="3"/>
  <c r="V112" i="3"/>
  <c r="R122" i="3"/>
  <c r="P121" i="3"/>
  <c r="AC125" i="3"/>
  <c r="Y167" i="3"/>
  <c r="X167" i="3"/>
  <c r="V167" i="3"/>
  <c r="R175" i="3"/>
  <c r="Y195" i="3"/>
  <c r="X195" i="3"/>
  <c r="V36" i="3"/>
  <c r="V110" i="3"/>
  <c r="W116" i="3"/>
  <c r="W118" i="3"/>
  <c r="S126" i="3"/>
  <c r="S129" i="3"/>
  <c r="P144" i="3"/>
  <c r="V155" i="3"/>
  <c r="V165" i="3"/>
  <c r="R173" i="3"/>
  <c r="X173" i="3" s="1"/>
  <c r="U177" i="3"/>
  <c r="P192" i="3"/>
  <c r="R192" i="3" s="1"/>
  <c r="Y197" i="3"/>
  <c r="V204" i="3"/>
  <c r="Q220" i="3"/>
  <c r="Q219" i="3" s="1"/>
  <c r="Y251" i="3"/>
  <c r="V251" i="3"/>
  <c r="O136" i="3"/>
  <c r="O135" i="3" s="1"/>
  <c r="O134" i="3" s="1"/>
  <c r="O133" i="3" s="1"/>
  <c r="W156" i="3"/>
  <c r="P164" i="3"/>
  <c r="V188" i="3"/>
  <c r="V190" i="3"/>
  <c r="P198" i="3"/>
  <c r="R198" i="3" s="1"/>
  <c r="R199" i="3"/>
  <c r="X202" i="3"/>
  <c r="R204" i="3"/>
  <c r="X204" i="3" s="1"/>
  <c r="U207" i="3"/>
  <c r="Y207" i="3" s="1"/>
  <c r="T206" i="3"/>
  <c r="O226" i="3"/>
  <c r="Q228" i="3"/>
  <c r="U228" i="3"/>
  <c r="Q230" i="3"/>
  <c r="R230" i="3" s="1"/>
  <c r="U174" i="3"/>
  <c r="Y174" i="3" s="1"/>
  <c r="R188" i="3"/>
  <c r="X200" i="3"/>
  <c r="U201" i="3"/>
  <c r="O209" i="3"/>
  <c r="X211" i="3"/>
  <c r="U223" i="3"/>
  <c r="Y223" i="3" s="1"/>
  <c r="P223" i="3"/>
  <c r="R223" i="3" s="1"/>
  <c r="Y224" i="3"/>
  <c r="V224" i="3"/>
  <c r="S257" i="3"/>
  <c r="U258" i="3"/>
  <c r="Y258" i="3" s="1"/>
  <c r="T179" i="3"/>
  <c r="Q187" i="3"/>
  <c r="Q186" i="3" s="1"/>
  <c r="Q185" i="3" s="1"/>
  <c r="Q184" i="3" s="1"/>
  <c r="Q182" i="3" s="1"/>
  <c r="Q157" i="3" s="1"/>
  <c r="W193" i="3"/>
  <c r="O164" i="3"/>
  <c r="V166" i="3"/>
  <c r="S153" i="3"/>
  <c r="U154" i="3"/>
  <c r="X156" i="3"/>
  <c r="R170" i="3"/>
  <c r="X170" i="3" s="1"/>
  <c r="P169" i="3"/>
  <c r="O172" i="3"/>
  <c r="T187" i="3"/>
  <c r="T186" i="3" s="1"/>
  <c r="V195" i="3"/>
  <c r="S198" i="3"/>
  <c r="U198" i="3" s="1"/>
  <c r="V200" i="3"/>
  <c r="W214" i="3"/>
  <c r="V214" i="3"/>
  <c r="P220" i="3"/>
  <c r="Y222" i="3"/>
  <c r="Q227" i="3"/>
  <c r="Q226" i="3" s="1"/>
  <c r="T226" i="3"/>
  <c r="T225" i="3" s="1"/>
  <c r="O230" i="3"/>
  <c r="Y240" i="3"/>
  <c r="V240" i="3"/>
  <c r="U249" i="3"/>
  <c r="Y249" i="3" s="1"/>
  <c r="X259" i="3"/>
  <c r="W158" i="3"/>
  <c r="S164" i="3"/>
  <c r="O175" i="3"/>
  <c r="V175" i="3" s="1"/>
  <c r="X189" i="3"/>
  <c r="V191" i="3"/>
  <c r="S209" i="3"/>
  <c r="U209" i="3" s="1"/>
  <c r="Y209" i="3" s="1"/>
  <c r="U210" i="3"/>
  <c r="Y210" i="3" s="1"/>
  <c r="V211" i="3"/>
  <c r="O219" i="3"/>
  <c r="R226" i="3"/>
  <c r="R176" i="3"/>
  <c r="W181" i="3"/>
  <c r="R191" i="3"/>
  <c r="V207" i="3"/>
  <c r="O206" i="3"/>
  <c r="X212" i="3"/>
  <c r="S220" i="3"/>
  <c r="W222" i="3"/>
  <c r="Y237" i="3"/>
  <c r="O236" i="3"/>
  <c r="O235" i="3" s="1"/>
  <c r="V237" i="3"/>
  <c r="P249" i="3"/>
  <c r="R250" i="3"/>
  <c r="V202" i="3"/>
  <c r="R207" i="3"/>
  <c r="X207" i="3" s="1"/>
  <c r="P206" i="3"/>
  <c r="W212" i="3"/>
  <c r="V212" i="3"/>
  <c r="R210" i="3"/>
  <c r="U221" i="3"/>
  <c r="U227" i="3"/>
  <c r="Y227" i="3" s="1"/>
  <c r="U239" i="3"/>
  <c r="P239" i="3"/>
  <c r="R239" i="3" s="1"/>
  <c r="X239" i="3" s="1"/>
  <c r="R243" i="3"/>
  <c r="P244" i="3"/>
  <c r="R244" i="3" s="1"/>
  <c r="U244" i="3"/>
  <c r="U253" i="3"/>
  <c r="Y253" i="3" s="1"/>
  <c r="V262" i="3"/>
  <c r="O318" i="3"/>
  <c r="Y294" i="3"/>
  <c r="X294" i="3"/>
  <c r="Q249" i="3"/>
  <c r="O260" i="3"/>
  <c r="R308" i="3"/>
  <c r="X308" i="3" s="1"/>
  <c r="P307" i="3"/>
  <c r="O314" i="3"/>
  <c r="V229" i="3"/>
  <c r="Q238" i="3"/>
  <c r="Q236" i="3" s="1"/>
  <c r="Q235" i="3" s="1"/>
  <c r="T236" i="3"/>
  <c r="T235" i="3" s="1"/>
  <c r="V241" i="3"/>
  <c r="P242" i="3"/>
  <c r="R242" i="3" s="1"/>
  <c r="U242" i="3"/>
  <c r="Y242" i="3" s="1"/>
  <c r="V256" i="3"/>
  <c r="U319" i="3"/>
  <c r="Y319" i="3" s="1"/>
  <c r="S318" i="3"/>
  <c r="U318" i="3" s="1"/>
  <c r="T220" i="3"/>
  <c r="T219" i="3" s="1"/>
  <c r="T218" i="3" s="1"/>
  <c r="T217" i="3" s="1"/>
  <c r="U231" i="3"/>
  <c r="Y231" i="3" s="1"/>
  <c r="S230" i="3"/>
  <c r="U230" i="3" s="1"/>
  <c r="Y230" i="3" s="1"/>
  <c r="X241" i="3"/>
  <c r="V245" i="3"/>
  <c r="P246" i="3"/>
  <c r="R246" i="3" s="1"/>
  <c r="U246" i="3"/>
  <c r="Y246" i="3" s="1"/>
  <c r="V247" i="3"/>
  <c r="T249" i="3"/>
  <c r="X256" i="3"/>
  <c r="X265" i="3"/>
  <c r="X295" i="3"/>
  <c r="T313" i="3"/>
  <c r="T312" i="3" s="1"/>
  <c r="T302" i="3" s="1"/>
  <c r="T300" i="3" s="1"/>
  <c r="R318" i="3"/>
  <c r="Y274" i="3"/>
  <c r="X274" i="3"/>
  <c r="V274" i="3"/>
  <c r="R276" i="3"/>
  <c r="P272" i="3"/>
  <c r="R278" i="3"/>
  <c r="X279" i="3"/>
  <c r="Y280" i="3"/>
  <c r="X280" i="3"/>
  <c r="V280" i="3"/>
  <c r="W295" i="3"/>
  <c r="V295" i="3"/>
  <c r="Y295" i="3"/>
  <c r="T296" i="3"/>
  <c r="U296" i="3" s="1"/>
  <c r="U297" i="3"/>
  <c r="R228" i="3"/>
  <c r="X228" i="3" s="1"/>
  <c r="V253" i="3"/>
  <c r="S254" i="3"/>
  <c r="U255" i="3"/>
  <c r="X255" i="3" s="1"/>
  <c r="Y260" i="3"/>
  <c r="V283" i="3"/>
  <c r="U293" i="3"/>
  <c r="V293" i="3" s="1"/>
  <c r="W310" i="3"/>
  <c r="X310" i="3"/>
  <c r="U226" i="3"/>
  <c r="Y226" i="3" s="1"/>
  <c r="R253" i="3"/>
  <c r="T254" i="3"/>
  <c r="O271" i="3"/>
  <c r="V294" i="3"/>
  <c r="U278" i="3"/>
  <c r="Y278" i="3" s="1"/>
  <c r="P283" i="3"/>
  <c r="R283" i="3" s="1"/>
  <c r="V284" i="3"/>
  <c r="S292" i="3"/>
  <c r="O307" i="3"/>
  <c r="V316" i="3"/>
  <c r="U320" i="3"/>
  <c r="W320" i="3" s="1"/>
  <c r="P316" i="3"/>
  <c r="O263" i="3"/>
  <c r="S272" i="3"/>
  <c r="V273" i="3"/>
  <c r="U276" i="3"/>
  <c r="Y276" i="3" s="1"/>
  <c r="P278" i="3"/>
  <c r="P277" i="3" s="1"/>
  <c r="S283" i="3"/>
  <c r="U283" i="3" s="1"/>
  <c r="Y283" i="3" s="1"/>
  <c r="T293" i="3"/>
  <c r="O297" i="3"/>
  <c r="V309" i="3"/>
  <c r="S315" i="3"/>
  <c r="Q316" i="3"/>
  <c r="Q315" i="3" s="1"/>
  <c r="Q314" i="3" s="1"/>
  <c r="Q313" i="3" s="1"/>
  <c r="Q312" i="3" s="1"/>
  <c r="Q302" i="3" s="1"/>
  <c r="Q300" i="3" s="1"/>
  <c r="T257" i="3"/>
  <c r="P297" i="3"/>
  <c r="S307" i="3"/>
  <c r="Y273" i="3"/>
  <c r="Y74" i="3" l="1"/>
  <c r="U73" i="3"/>
  <c r="V113" i="3"/>
  <c r="V111" i="3"/>
  <c r="X113" i="3"/>
  <c r="V73" i="3"/>
  <c r="O72" i="3"/>
  <c r="O69" i="3" s="1"/>
  <c r="Y43" i="3"/>
  <c r="R264" i="3"/>
  <c r="V281" i="3"/>
  <c r="V180" i="3"/>
  <c r="Y111" i="3"/>
  <c r="X190" i="3"/>
  <c r="Y190" i="3"/>
  <c r="V74" i="3"/>
  <c r="V192" i="3"/>
  <c r="X174" i="3"/>
  <c r="Y208" i="3"/>
  <c r="X208" i="3"/>
  <c r="T168" i="3"/>
  <c r="T162" i="3" s="1"/>
  <c r="X245" i="3"/>
  <c r="X246" i="3"/>
  <c r="V238" i="3"/>
  <c r="U264" i="3"/>
  <c r="Y264" i="3" s="1"/>
  <c r="V263" i="3"/>
  <c r="S225" i="3"/>
  <c r="U225" i="3" s="1"/>
  <c r="V176" i="3"/>
  <c r="Y198" i="3"/>
  <c r="X65" i="3"/>
  <c r="V171" i="3"/>
  <c r="V102" i="3"/>
  <c r="Y102" i="3"/>
  <c r="V203" i="3"/>
  <c r="V169" i="3"/>
  <c r="Q248" i="3"/>
  <c r="Q234" i="3" s="1"/>
  <c r="Q233" i="3" s="1"/>
  <c r="X171" i="3"/>
  <c r="Y250" i="3"/>
  <c r="X192" i="3"/>
  <c r="W171" i="3"/>
  <c r="R154" i="3"/>
  <c r="Q153" i="3"/>
  <c r="V50" i="3"/>
  <c r="T292" i="3"/>
  <c r="T291" i="3" s="1"/>
  <c r="T290" i="3" s="1"/>
  <c r="T288" i="3" s="1"/>
  <c r="T286" i="3" s="1"/>
  <c r="V278" i="3"/>
  <c r="U254" i="3"/>
  <c r="Y318" i="3"/>
  <c r="X250" i="3"/>
  <c r="V174" i="3"/>
  <c r="Y58" i="3"/>
  <c r="X281" i="3"/>
  <c r="O277" i="3"/>
  <c r="V279" i="3"/>
  <c r="X50" i="3"/>
  <c r="S277" i="3"/>
  <c r="U277" i="3" s="1"/>
  <c r="O79" i="3"/>
  <c r="U307" i="3"/>
  <c r="S306" i="3"/>
  <c r="S305" i="3" s="1"/>
  <c r="X283" i="3"/>
  <c r="R227" i="3"/>
  <c r="X227" i="3" s="1"/>
  <c r="T248" i="3"/>
  <c r="X242" i="3"/>
  <c r="P306" i="3"/>
  <c r="P305" i="3" s="1"/>
  <c r="R307" i="3"/>
  <c r="Y244" i="3"/>
  <c r="V244" i="3"/>
  <c r="X210" i="3"/>
  <c r="U187" i="3"/>
  <c r="V210" i="3"/>
  <c r="V228" i="3"/>
  <c r="Y228" i="3"/>
  <c r="X199" i="3"/>
  <c r="O22" i="3"/>
  <c r="Y64" i="3"/>
  <c r="Y172" i="3"/>
  <c r="X130" i="3"/>
  <c r="Y130" i="3"/>
  <c r="P107" i="3"/>
  <c r="R108" i="3"/>
  <c r="U41" i="3"/>
  <c r="S40" i="3"/>
  <c r="P187" i="3"/>
  <c r="O128" i="3"/>
  <c r="X44" i="3"/>
  <c r="X58" i="3"/>
  <c r="R35" i="3"/>
  <c r="P34" i="3"/>
  <c r="R297" i="3"/>
  <c r="X297" i="3" s="1"/>
  <c r="P296" i="3"/>
  <c r="R316" i="3"/>
  <c r="P315" i="3"/>
  <c r="X253" i="3"/>
  <c r="X264" i="3"/>
  <c r="W319" i="3"/>
  <c r="X244" i="3"/>
  <c r="W244" i="3"/>
  <c r="V264" i="3"/>
  <c r="S248" i="3"/>
  <c r="Q225" i="3"/>
  <c r="R225" i="3" s="1"/>
  <c r="X225" i="3" s="1"/>
  <c r="U186" i="3"/>
  <c r="S185" i="3"/>
  <c r="S184" i="3" s="1"/>
  <c r="S182" i="3" s="1"/>
  <c r="X209" i="3"/>
  <c r="V249" i="3"/>
  <c r="Y201" i="3"/>
  <c r="V201" i="3"/>
  <c r="X198" i="3"/>
  <c r="V223" i="3"/>
  <c r="P120" i="3"/>
  <c r="R121" i="3"/>
  <c r="U63" i="3"/>
  <c r="S62" i="3"/>
  <c r="O125" i="3"/>
  <c r="U101" i="3"/>
  <c r="S100" i="3"/>
  <c r="V186" i="3"/>
  <c r="R36" i="3"/>
  <c r="W36" i="3" s="1"/>
  <c r="X319" i="3"/>
  <c r="X318" i="3"/>
  <c r="W318" i="3"/>
  <c r="T234" i="3"/>
  <c r="T233" i="3" s="1"/>
  <c r="T215" i="3" s="1"/>
  <c r="T213" i="3" s="1"/>
  <c r="V318" i="3"/>
  <c r="W243" i="3"/>
  <c r="X243" i="3"/>
  <c r="S219" i="3"/>
  <c r="U220" i="3"/>
  <c r="O168" i="3"/>
  <c r="V172" i="3"/>
  <c r="O225" i="3"/>
  <c r="V225" i="3" s="1"/>
  <c r="V226" i="3"/>
  <c r="Q218" i="3"/>
  <c r="Q217" i="3" s="1"/>
  <c r="P143" i="3"/>
  <c r="R144" i="3"/>
  <c r="O95" i="3"/>
  <c r="V96" i="3"/>
  <c r="Y59" i="3"/>
  <c r="X59" i="3"/>
  <c r="R41" i="3"/>
  <c r="X41" i="3" s="1"/>
  <c r="P40" i="3"/>
  <c r="Y137" i="3"/>
  <c r="V137" i="3"/>
  <c r="V136" i="3" s="1"/>
  <c r="V135" i="3" s="1"/>
  <c r="V134" i="3" s="1"/>
  <c r="V133" i="3" s="1"/>
  <c r="U136" i="3"/>
  <c r="X137" i="3"/>
  <c r="Y96" i="3"/>
  <c r="Y55" i="3"/>
  <c r="V55" i="3"/>
  <c r="Y25" i="3"/>
  <c r="V25" i="3"/>
  <c r="R136" i="3"/>
  <c r="X96" i="3"/>
  <c r="Y320" i="3"/>
  <c r="V320" i="3"/>
  <c r="Y225" i="3"/>
  <c r="Y297" i="3"/>
  <c r="V319" i="3"/>
  <c r="X231" i="3"/>
  <c r="X226" i="3"/>
  <c r="P219" i="3"/>
  <c r="R220" i="3"/>
  <c r="X220" i="3" s="1"/>
  <c r="R169" i="3"/>
  <c r="X169" i="3" s="1"/>
  <c r="P168" i="3"/>
  <c r="R168" i="3" s="1"/>
  <c r="O163" i="3"/>
  <c r="X188" i="3"/>
  <c r="W188" i="3"/>
  <c r="V227" i="3"/>
  <c r="S128" i="3"/>
  <c r="U128" i="3" s="1"/>
  <c r="Y128" i="3" s="1"/>
  <c r="U129" i="3"/>
  <c r="Y129" i="3" s="1"/>
  <c r="R85" i="3"/>
  <c r="P80" i="3"/>
  <c r="U149" i="3"/>
  <c r="T148" i="3"/>
  <c r="V198" i="3"/>
  <c r="U95" i="3"/>
  <c r="Y95" i="3" s="1"/>
  <c r="S94" i="3"/>
  <c r="S22" i="3"/>
  <c r="U23" i="3"/>
  <c r="V23" i="3" s="1"/>
  <c r="P94" i="3"/>
  <c r="R95" i="3"/>
  <c r="X95" i="3" s="1"/>
  <c r="V34" i="3"/>
  <c r="Y255" i="3"/>
  <c r="V255" i="3"/>
  <c r="X278" i="3"/>
  <c r="R277" i="3"/>
  <c r="X277" i="3" s="1"/>
  <c r="V258" i="3"/>
  <c r="V260" i="3"/>
  <c r="O259" i="3"/>
  <c r="O234" i="3" s="1"/>
  <c r="O233" i="3" s="1"/>
  <c r="Y239" i="3"/>
  <c r="V239" i="3"/>
  <c r="O205" i="3"/>
  <c r="X258" i="3"/>
  <c r="U179" i="3"/>
  <c r="Y179" i="3" s="1"/>
  <c r="T178" i="3"/>
  <c r="U178" i="3" s="1"/>
  <c r="X223" i="3"/>
  <c r="T205" i="3"/>
  <c r="U205" i="3" s="1"/>
  <c r="U206" i="3"/>
  <c r="Y206" i="3" s="1"/>
  <c r="P163" i="3"/>
  <c r="R164" i="3"/>
  <c r="S125" i="3"/>
  <c r="U125" i="3" s="1"/>
  <c r="U126" i="3"/>
  <c r="V150" i="3"/>
  <c r="Y150" i="3"/>
  <c r="V199" i="3"/>
  <c r="O142" i="3"/>
  <c r="U88" i="3"/>
  <c r="Y51" i="3"/>
  <c r="V51" i="3"/>
  <c r="U86" i="3"/>
  <c r="S85" i="3"/>
  <c r="V44" i="3"/>
  <c r="X70" i="3"/>
  <c r="U315" i="3"/>
  <c r="S314" i="3"/>
  <c r="U272" i="3"/>
  <c r="S271" i="3"/>
  <c r="V307" i="3"/>
  <c r="V306" i="3" s="1"/>
  <c r="V305" i="3" s="1"/>
  <c r="V304" i="3" s="1"/>
  <c r="O306" i="3"/>
  <c r="O305" i="3" s="1"/>
  <c r="O304" i="3" s="1"/>
  <c r="O270" i="3"/>
  <c r="P271" i="3"/>
  <c r="R272" i="3"/>
  <c r="V276" i="3"/>
  <c r="X320" i="3"/>
  <c r="V277" i="3"/>
  <c r="P248" i="3"/>
  <c r="R248" i="3" s="1"/>
  <c r="R249" i="3"/>
  <c r="X249" i="3" s="1"/>
  <c r="X254" i="3"/>
  <c r="Y175" i="3"/>
  <c r="R238" i="3"/>
  <c r="O68" i="3"/>
  <c r="Y146" i="3"/>
  <c r="V146" i="3"/>
  <c r="X146" i="3"/>
  <c r="U35" i="3"/>
  <c r="S34" i="3"/>
  <c r="U34" i="3" s="1"/>
  <c r="Y34" i="3" s="1"/>
  <c r="Y28" i="3"/>
  <c r="W28" i="3"/>
  <c r="U82" i="3"/>
  <c r="T81" i="3"/>
  <c r="V49" i="3"/>
  <c r="V58" i="3"/>
  <c r="O57" i="3"/>
  <c r="X55" i="3"/>
  <c r="S291" i="3"/>
  <c r="Y293" i="3"/>
  <c r="X293" i="3"/>
  <c r="X276" i="3"/>
  <c r="O313" i="3"/>
  <c r="U236" i="3"/>
  <c r="P205" i="3"/>
  <c r="R205" i="3" s="1"/>
  <c r="X205" i="3" s="1"/>
  <c r="R206" i="3"/>
  <c r="U164" i="3"/>
  <c r="Y164" i="3" s="1"/>
  <c r="S163" i="3"/>
  <c r="V231" i="3"/>
  <c r="Y154" i="3"/>
  <c r="V154" i="3"/>
  <c r="V246" i="3"/>
  <c r="P236" i="3"/>
  <c r="P235" i="3" s="1"/>
  <c r="Y177" i="3"/>
  <c r="W177" i="3"/>
  <c r="W161" i="3" s="1"/>
  <c r="W159" i="3" s="1"/>
  <c r="W157" i="3" s="1"/>
  <c r="V177" i="3"/>
  <c r="S47" i="3"/>
  <c r="U48" i="3"/>
  <c r="S144" i="3"/>
  <c r="U145" i="3"/>
  <c r="U108" i="3"/>
  <c r="S107" i="3"/>
  <c r="V242" i="3"/>
  <c r="V236" i="3" s="1"/>
  <c r="V235" i="3" s="1"/>
  <c r="S121" i="3"/>
  <c r="U122" i="3"/>
  <c r="X74" i="3"/>
  <c r="R73" i="3"/>
  <c r="R48" i="3"/>
  <c r="P47" i="3"/>
  <c r="O99" i="3"/>
  <c r="V65" i="3"/>
  <c r="V297" i="3"/>
  <c r="O296" i="3"/>
  <c r="Y296" i="3" s="1"/>
  <c r="Y263" i="3"/>
  <c r="Y221" i="3"/>
  <c r="V221" i="3"/>
  <c r="X191" i="3"/>
  <c r="W191" i="3"/>
  <c r="V230" i="3"/>
  <c r="U153" i="3"/>
  <c r="S152" i="3"/>
  <c r="U257" i="3"/>
  <c r="V209" i="3"/>
  <c r="Y109" i="3"/>
  <c r="X109" i="3"/>
  <c r="V109" i="3"/>
  <c r="P128" i="3"/>
  <c r="R128" i="3" s="1"/>
  <c r="R129" i="3"/>
  <c r="O63" i="3"/>
  <c r="V64" i="3"/>
  <c r="X221" i="3"/>
  <c r="V124" i="3"/>
  <c r="Y124" i="3"/>
  <c r="X124" i="3"/>
  <c r="V43" i="3"/>
  <c r="O42" i="3"/>
  <c r="Y70" i="3"/>
  <c r="X49" i="3"/>
  <c r="V59" i="3"/>
  <c r="U292" i="3" l="1"/>
  <c r="X48" i="3"/>
  <c r="Y254" i="3"/>
  <c r="V254" i="3"/>
  <c r="U168" i="3"/>
  <c r="X168" i="3" s="1"/>
  <c r="X129" i="3"/>
  <c r="V205" i="3"/>
  <c r="Q152" i="3"/>
  <c r="R153" i="3"/>
  <c r="Y277" i="3"/>
  <c r="U72" i="3"/>
  <c r="Y73" i="3"/>
  <c r="P234" i="3"/>
  <c r="P233" i="3" s="1"/>
  <c r="X206" i="3"/>
  <c r="Q215" i="3"/>
  <c r="Q213" i="3" s="1"/>
  <c r="U121" i="3"/>
  <c r="S120" i="3"/>
  <c r="Y125" i="3"/>
  <c r="X125" i="3"/>
  <c r="P93" i="3"/>
  <c r="R94" i="3"/>
  <c r="O162" i="3"/>
  <c r="V125" i="3"/>
  <c r="O120" i="3"/>
  <c r="T80" i="3"/>
  <c r="T79" i="3" s="1"/>
  <c r="T78" i="3" s="1"/>
  <c r="T76" i="3" s="1"/>
  <c r="U81" i="3"/>
  <c r="X248" i="3"/>
  <c r="X164" i="3"/>
  <c r="O218" i="3"/>
  <c r="Y23" i="3"/>
  <c r="W23" i="3"/>
  <c r="R80" i="3"/>
  <c r="P79" i="3"/>
  <c r="P78" i="3" s="1"/>
  <c r="V164" i="3"/>
  <c r="R40" i="3"/>
  <c r="P142" i="3"/>
  <c r="R143" i="3"/>
  <c r="U62" i="3"/>
  <c r="S61" i="3"/>
  <c r="U61" i="3" s="1"/>
  <c r="AE84" i="1" s="1"/>
  <c r="AO84" i="1" s="1"/>
  <c r="P292" i="3"/>
  <c r="R296" i="3"/>
  <c r="X296" i="3" s="1"/>
  <c r="R187" i="3"/>
  <c r="X187" i="3" s="1"/>
  <c r="P186" i="3"/>
  <c r="Y187" i="3"/>
  <c r="V187" i="3"/>
  <c r="P46" i="3"/>
  <c r="R46" i="3" s="1"/>
  <c r="R47" i="3"/>
  <c r="S106" i="3"/>
  <c r="U106" i="3" s="1"/>
  <c r="AE96" i="1" s="1"/>
  <c r="AO96" i="1" s="1"/>
  <c r="U107" i="3"/>
  <c r="Y82" i="3"/>
  <c r="V82" i="3"/>
  <c r="X82" i="3"/>
  <c r="S80" i="3"/>
  <c r="U85" i="3"/>
  <c r="X85" i="3" s="1"/>
  <c r="P162" i="3"/>
  <c r="R163" i="3"/>
  <c r="U22" i="3"/>
  <c r="Y22" i="3" s="1"/>
  <c r="S21" i="3"/>
  <c r="T161" i="3"/>
  <c r="T159" i="3" s="1"/>
  <c r="Y63" i="3"/>
  <c r="X63" i="3"/>
  <c r="U40" i="3"/>
  <c r="AE80" i="1" s="1"/>
  <c r="O21" i="3"/>
  <c r="O62" i="3"/>
  <c r="V63" i="3"/>
  <c r="Y257" i="3"/>
  <c r="V257" i="3"/>
  <c r="V248" i="3" s="1"/>
  <c r="V234" i="3" s="1"/>
  <c r="V233" i="3" s="1"/>
  <c r="X257" i="3"/>
  <c r="Y108" i="3"/>
  <c r="V108" i="3"/>
  <c r="O67" i="3"/>
  <c r="S270" i="3"/>
  <c r="U271" i="3"/>
  <c r="Y86" i="3"/>
  <c r="X86" i="3"/>
  <c r="V86" i="3"/>
  <c r="U94" i="3"/>
  <c r="S93" i="3"/>
  <c r="O185" i="3"/>
  <c r="X121" i="3"/>
  <c r="R34" i="3"/>
  <c r="W34" i="3" s="1"/>
  <c r="P22" i="3"/>
  <c r="S304" i="3"/>
  <c r="U305" i="3"/>
  <c r="V42" i="3"/>
  <c r="O41" i="3"/>
  <c r="Y42" i="3"/>
  <c r="U152" i="3"/>
  <c r="S147" i="3"/>
  <c r="Y272" i="3"/>
  <c r="V272" i="3"/>
  <c r="V206" i="3"/>
  <c r="R120" i="3"/>
  <c r="P119" i="3"/>
  <c r="U185" i="3"/>
  <c r="Y186" i="3"/>
  <c r="W35" i="3"/>
  <c r="X108" i="3"/>
  <c r="U306" i="3"/>
  <c r="Y306" i="3" s="1"/>
  <c r="Y307" i="3"/>
  <c r="Y145" i="3"/>
  <c r="X145" i="3"/>
  <c r="V145" i="3"/>
  <c r="S290" i="3"/>
  <c r="U291" i="3"/>
  <c r="Y205" i="3"/>
  <c r="X128" i="3"/>
  <c r="Y153" i="3"/>
  <c r="V153" i="3"/>
  <c r="V296" i="3"/>
  <c r="O292" i="3"/>
  <c r="R72" i="3"/>
  <c r="X73" i="3"/>
  <c r="U144" i="3"/>
  <c r="X144" i="3" s="1"/>
  <c r="S143" i="3"/>
  <c r="Y236" i="3"/>
  <c r="U235" i="3"/>
  <c r="X238" i="3"/>
  <c r="R236" i="3"/>
  <c r="X272" i="3"/>
  <c r="S313" i="3"/>
  <c r="U314" i="3"/>
  <c r="P218" i="3"/>
  <c r="R219" i="3"/>
  <c r="U100" i="3"/>
  <c r="S99" i="3"/>
  <c r="U99" i="3" s="1"/>
  <c r="AE95" i="1" s="1"/>
  <c r="AO95" i="1" s="1"/>
  <c r="T185" i="3"/>
  <c r="T184" i="3" s="1"/>
  <c r="T182" i="3" s="1"/>
  <c r="P106" i="3"/>
  <c r="R106" i="3" s="1"/>
  <c r="R107" i="3"/>
  <c r="X107" i="3" s="1"/>
  <c r="R306" i="3"/>
  <c r="X306" i="3" s="1"/>
  <c r="X307" i="3"/>
  <c r="Y48" i="3"/>
  <c r="V48" i="3"/>
  <c r="O312" i="3"/>
  <c r="V57" i="3"/>
  <c r="O47" i="3"/>
  <c r="Y57" i="3"/>
  <c r="Y35" i="3"/>
  <c r="V35" i="3"/>
  <c r="P270" i="3"/>
  <c r="R271" i="3"/>
  <c r="X271" i="3" s="1"/>
  <c r="Y315" i="3"/>
  <c r="V315" i="3"/>
  <c r="Y88" i="3"/>
  <c r="V88" i="3"/>
  <c r="X88" i="3"/>
  <c r="Y178" i="3"/>
  <c r="X178" i="3"/>
  <c r="V178" i="3"/>
  <c r="U135" i="3"/>
  <c r="Y136" i="3"/>
  <c r="O94" i="3"/>
  <c r="V95" i="3"/>
  <c r="Y101" i="3"/>
  <c r="V101" i="3"/>
  <c r="R305" i="3"/>
  <c r="P304" i="3"/>
  <c r="O78" i="3"/>
  <c r="Y122" i="3"/>
  <c r="V122" i="3"/>
  <c r="U47" i="3"/>
  <c r="S46" i="3"/>
  <c r="U46" i="3" s="1"/>
  <c r="AE81" i="1" s="1"/>
  <c r="O269" i="3"/>
  <c r="O267" i="3" s="1"/>
  <c r="Y126" i="3"/>
  <c r="X126" i="3"/>
  <c r="V259" i="3"/>
  <c r="Y259" i="3"/>
  <c r="U148" i="3"/>
  <c r="T147" i="3"/>
  <c r="T142" i="3" s="1"/>
  <c r="T117" i="3" s="1"/>
  <c r="X136" i="3"/>
  <c r="R135" i="3"/>
  <c r="X122" i="3"/>
  <c r="Y220" i="3"/>
  <c r="V220" i="3"/>
  <c r="V126" i="3"/>
  <c r="U248" i="3"/>
  <c r="Y248" i="3" s="1"/>
  <c r="S234" i="3"/>
  <c r="S233" i="3" s="1"/>
  <c r="P314" i="3"/>
  <c r="R315" i="3"/>
  <c r="X315" i="3" s="1"/>
  <c r="V129" i="3"/>
  <c r="S162" i="3"/>
  <c r="U163" i="3"/>
  <c r="Y163" i="3" s="1"/>
  <c r="Y149" i="3"/>
  <c r="V149" i="3"/>
  <c r="S218" i="3"/>
  <c r="U219" i="3"/>
  <c r="X316" i="3"/>
  <c r="W316" i="3"/>
  <c r="V128" i="3"/>
  <c r="X219" i="3" l="1"/>
  <c r="V22" i="3"/>
  <c r="X94" i="3"/>
  <c r="V168" i="3"/>
  <c r="Y72" i="3"/>
  <c r="V72" i="3"/>
  <c r="U69" i="3"/>
  <c r="X46" i="3"/>
  <c r="X106" i="3"/>
  <c r="T157" i="3"/>
  <c r="Y168" i="3"/>
  <c r="Q147" i="3"/>
  <c r="R152" i="3"/>
  <c r="AO80" i="1"/>
  <c r="U162" i="3"/>
  <c r="Y162" i="3" s="1"/>
  <c r="S161" i="3"/>
  <c r="Y219" i="3"/>
  <c r="V219" i="3"/>
  <c r="O76" i="3"/>
  <c r="U134" i="3"/>
  <c r="Y135" i="3"/>
  <c r="R235" i="3"/>
  <c r="X236" i="3"/>
  <c r="V292" i="3"/>
  <c r="O291" i="3"/>
  <c r="U290" i="3"/>
  <c r="AE144" i="1" s="1"/>
  <c r="AE143" i="1" s="1"/>
  <c r="AE141" i="1" s="1"/>
  <c r="S288" i="3"/>
  <c r="Y152" i="3"/>
  <c r="V152" i="3"/>
  <c r="Y271" i="3"/>
  <c r="V271" i="3"/>
  <c r="Y85" i="3"/>
  <c r="V85" i="3"/>
  <c r="X47" i="3"/>
  <c r="X40" i="3"/>
  <c r="O302" i="3"/>
  <c r="O161" i="3"/>
  <c r="S217" i="3"/>
  <c r="U218" i="3"/>
  <c r="Y218" i="3" s="1"/>
  <c r="U184" i="3"/>
  <c r="AE113" i="1" s="1"/>
  <c r="AE112" i="1" s="1"/>
  <c r="Y185" i="3"/>
  <c r="S269" i="3"/>
  <c r="S267" i="3" s="1"/>
  <c r="U267" i="3" s="1"/>
  <c r="Y267" i="3" s="1"/>
  <c r="U270" i="3"/>
  <c r="R292" i="3"/>
  <c r="X292" i="3" s="1"/>
  <c r="P291" i="3"/>
  <c r="P313" i="3"/>
  <c r="R314" i="3"/>
  <c r="X314" i="3" s="1"/>
  <c r="R304" i="3"/>
  <c r="X305" i="3"/>
  <c r="R270" i="3"/>
  <c r="P269" i="3"/>
  <c r="P267" i="3" s="1"/>
  <c r="R267" i="3" s="1"/>
  <c r="Y100" i="3"/>
  <c r="V100" i="3"/>
  <c r="U234" i="3"/>
  <c r="Y235" i="3"/>
  <c r="R119" i="3"/>
  <c r="P117" i="3"/>
  <c r="V41" i="3"/>
  <c r="O40" i="3"/>
  <c r="Y40" i="3" s="1"/>
  <c r="O184" i="3"/>
  <c r="V185" i="3"/>
  <c r="R78" i="3"/>
  <c r="P76" i="3"/>
  <c r="R76" i="3" s="1"/>
  <c r="Y81" i="3"/>
  <c r="V81" i="3"/>
  <c r="X81" i="3"/>
  <c r="P91" i="3"/>
  <c r="R91" i="3" s="1"/>
  <c r="R93" i="3"/>
  <c r="Y99" i="3"/>
  <c r="W99" i="3"/>
  <c r="W91" i="3" s="1"/>
  <c r="S91" i="3"/>
  <c r="U91" i="3" s="1"/>
  <c r="U93" i="3"/>
  <c r="O61" i="3"/>
  <c r="V61" i="3" s="1"/>
  <c r="V62" i="3"/>
  <c r="X61" i="3"/>
  <c r="T17" i="3"/>
  <c r="T15" i="3" s="1"/>
  <c r="X135" i="3"/>
  <c r="X134" i="3" s="1"/>
  <c r="X133" i="3" s="1"/>
  <c r="R134" i="3"/>
  <c r="R133" i="3" s="1"/>
  <c r="U80" i="3"/>
  <c r="S79" i="3"/>
  <c r="Y148" i="3"/>
  <c r="V148" i="3"/>
  <c r="Y47" i="3"/>
  <c r="R218" i="3"/>
  <c r="P217" i="3"/>
  <c r="S142" i="3"/>
  <c r="U142" i="3" s="1"/>
  <c r="AE101" i="1" s="1"/>
  <c r="U143" i="3"/>
  <c r="X143" i="3" s="1"/>
  <c r="Y305" i="3"/>
  <c r="U304" i="3"/>
  <c r="Y94" i="3"/>
  <c r="Y292" i="3"/>
  <c r="O19" i="3"/>
  <c r="U21" i="3"/>
  <c r="S19" i="3"/>
  <c r="Y62" i="3"/>
  <c r="X62" i="3"/>
  <c r="Y144" i="3"/>
  <c r="V144" i="3"/>
  <c r="O93" i="3"/>
  <c r="V94" i="3"/>
  <c r="O46" i="3"/>
  <c r="V46" i="3" s="1"/>
  <c r="V47" i="3"/>
  <c r="S312" i="3"/>
  <c r="U312" i="3" s="1"/>
  <c r="U313" i="3"/>
  <c r="Y41" i="3"/>
  <c r="X163" i="3"/>
  <c r="Y107" i="3"/>
  <c r="V107" i="3"/>
  <c r="R186" i="3"/>
  <c r="P185" i="3"/>
  <c r="P184" i="3" s="1"/>
  <c r="P182" i="3" s="1"/>
  <c r="O217" i="3"/>
  <c r="S119" i="3"/>
  <c r="U120" i="3"/>
  <c r="Y120" i="3" s="1"/>
  <c r="Y314" i="3"/>
  <c r="V314" i="3"/>
  <c r="O119" i="3"/>
  <c r="V99" i="3"/>
  <c r="X72" i="3"/>
  <c r="R69" i="3"/>
  <c r="Y291" i="3"/>
  <c r="U147" i="3"/>
  <c r="P21" i="3"/>
  <c r="R22" i="3"/>
  <c r="W22" i="3" s="1"/>
  <c r="S38" i="3"/>
  <c r="R162" i="3"/>
  <c r="X162" i="3" s="1"/>
  <c r="P161" i="3"/>
  <c r="Y106" i="3"/>
  <c r="V106" i="3"/>
  <c r="P38" i="3"/>
  <c r="V163" i="3"/>
  <c r="Y121" i="3"/>
  <c r="V121" i="3"/>
  <c r="Y21" i="3" l="1"/>
  <c r="AE76" i="1"/>
  <c r="Q142" i="3"/>
  <c r="R147" i="3"/>
  <c r="X147" i="3" s="1"/>
  <c r="Y93" i="3"/>
  <c r="AE94" i="1"/>
  <c r="Y61" i="3"/>
  <c r="Y312" i="3"/>
  <c r="AE153" i="1"/>
  <c r="U68" i="3"/>
  <c r="Y69" i="3"/>
  <c r="V69" i="3"/>
  <c r="Y304" i="3"/>
  <c r="AE150" i="1"/>
  <c r="AE149" i="1" s="1"/>
  <c r="AE148" i="1" s="1"/>
  <c r="V312" i="3"/>
  <c r="O117" i="3"/>
  <c r="Y147" i="3"/>
  <c r="V147" i="3"/>
  <c r="U19" i="3"/>
  <c r="Y19" i="3" s="1"/>
  <c r="Y143" i="3"/>
  <c r="V143" i="3"/>
  <c r="Y80" i="3"/>
  <c r="V80" i="3"/>
  <c r="Y142" i="3"/>
  <c r="V142" i="3"/>
  <c r="Y234" i="3"/>
  <c r="U233" i="3"/>
  <c r="R313" i="3"/>
  <c r="X313" i="3" s="1"/>
  <c r="P312" i="3"/>
  <c r="V291" i="3"/>
  <c r="O290" i="3"/>
  <c r="X69" i="3"/>
  <c r="R68" i="3"/>
  <c r="V21" i="3"/>
  <c r="V267" i="3"/>
  <c r="R291" i="3"/>
  <c r="X291" i="3" s="1"/>
  <c r="P290" i="3"/>
  <c r="U217" i="3"/>
  <c r="S215" i="3"/>
  <c r="P215" i="3"/>
  <c r="R217" i="3"/>
  <c r="R161" i="3"/>
  <c r="P159" i="3"/>
  <c r="O215" i="3"/>
  <c r="O91" i="3"/>
  <c r="V91" i="3" s="1"/>
  <c r="V93" i="3"/>
  <c r="V19" i="3"/>
  <c r="X218" i="3"/>
  <c r="X93" i="3"/>
  <c r="X91" i="3" s="1"/>
  <c r="V184" i="3"/>
  <c r="O182" i="3"/>
  <c r="V162" i="3"/>
  <c r="S117" i="3"/>
  <c r="U119" i="3"/>
  <c r="AE99" i="1" s="1"/>
  <c r="V218" i="3"/>
  <c r="X80" i="3"/>
  <c r="O38" i="3"/>
  <c r="V40" i="3"/>
  <c r="X267" i="3"/>
  <c r="U269" i="3"/>
  <c r="Y270" i="3"/>
  <c r="V270" i="3"/>
  <c r="V269" i="3" s="1"/>
  <c r="O159" i="3"/>
  <c r="X235" i="3"/>
  <c r="R234" i="3"/>
  <c r="U161" i="3"/>
  <c r="S159" i="3"/>
  <c r="Y91" i="3"/>
  <c r="R269" i="3"/>
  <c r="X269" i="3" s="1"/>
  <c r="X270" i="3"/>
  <c r="O300" i="3"/>
  <c r="V120" i="3"/>
  <c r="Y313" i="3"/>
  <c r="V313" i="3"/>
  <c r="X120" i="3"/>
  <c r="P19" i="3"/>
  <c r="R21" i="3"/>
  <c r="W21" i="3" s="1"/>
  <c r="X186" i="3"/>
  <c r="R185" i="3"/>
  <c r="S78" i="3"/>
  <c r="U79" i="3"/>
  <c r="Y46" i="3"/>
  <c r="X304" i="3"/>
  <c r="U182" i="3"/>
  <c r="Y184" i="3"/>
  <c r="S286" i="3"/>
  <c r="U286" i="3" s="1"/>
  <c r="U288" i="3"/>
  <c r="U133" i="3"/>
  <c r="Y134" i="3"/>
  <c r="S302" i="3"/>
  <c r="AO99" i="1" l="1"/>
  <c r="Y217" i="3"/>
  <c r="AE129" i="1"/>
  <c r="X119" i="3"/>
  <c r="AO94" i="1"/>
  <c r="AE93" i="1"/>
  <c r="V182" i="3"/>
  <c r="Y233" i="3"/>
  <c r="AE131" i="1"/>
  <c r="Q117" i="3"/>
  <c r="Q17" i="3" s="1"/>
  <c r="Q15" i="3" s="1"/>
  <c r="R142" i="3"/>
  <c r="Y269" i="3"/>
  <c r="AE139" i="1"/>
  <c r="V68" i="3"/>
  <c r="Y68" i="3"/>
  <c r="U67" i="3"/>
  <c r="AE75" i="1"/>
  <c r="AO76" i="1"/>
  <c r="Y133" i="3"/>
  <c r="AE100" i="1"/>
  <c r="AO100" i="1" s="1"/>
  <c r="Y161" i="3"/>
  <c r="AE109" i="1"/>
  <c r="O17" i="3"/>
  <c r="P17" i="3"/>
  <c r="R19" i="3"/>
  <c r="W19" i="3" s="1"/>
  <c r="W17" i="3" s="1"/>
  <c r="W217" i="3"/>
  <c r="W215" i="3" s="1"/>
  <c r="W213" i="3" s="1"/>
  <c r="X217" i="3"/>
  <c r="X68" i="3"/>
  <c r="R67" i="3"/>
  <c r="Y119" i="3"/>
  <c r="U117" i="3"/>
  <c r="Y117" i="3" s="1"/>
  <c r="P213" i="3"/>
  <c r="R215" i="3"/>
  <c r="U159" i="3"/>
  <c r="S157" i="3"/>
  <c r="U215" i="3"/>
  <c r="V215" i="3" s="1"/>
  <c r="V213" i="3" s="1"/>
  <c r="S213" i="3"/>
  <c r="Y79" i="3"/>
  <c r="V79" i="3"/>
  <c r="V290" i="3"/>
  <c r="O288" i="3"/>
  <c r="R233" i="3"/>
  <c r="X233" i="3" s="1"/>
  <c r="X234" i="3"/>
  <c r="O213" i="3"/>
  <c r="P288" i="3"/>
  <c r="R290" i="3"/>
  <c r="X290" i="3" s="1"/>
  <c r="Y290" i="3"/>
  <c r="R184" i="3"/>
  <c r="X185" i="3"/>
  <c r="V217" i="3"/>
  <c r="R312" i="3"/>
  <c r="X312" i="3" s="1"/>
  <c r="P302" i="3"/>
  <c r="Y182" i="3"/>
  <c r="O157" i="3"/>
  <c r="P157" i="3"/>
  <c r="R159" i="3"/>
  <c r="V119" i="3"/>
  <c r="V117" i="3" s="1"/>
  <c r="S76" i="3"/>
  <c r="U78" i="3"/>
  <c r="AE91" i="1" s="1"/>
  <c r="U302" i="3"/>
  <c r="S300" i="3"/>
  <c r="U300" i="3" s="1"/>
  <c r="Y300" i="3" s="1"/>
  <c r="V161" i="3"/>
  <c r="X161" i="3"/>
  <c r="AE108" i="1" l="1"/>
  <c r="AE102" i="1" s="1"/>
  <c r="AO109" i="1"/>
  <c r="AO139" i="1"/>
  <c r="AE138" i="1"/>
  <c r="AO91" i="1"/>
  <c r="AE88" i="1"/>
  <c r="X142" i="3"/>
  <c r="R117" i="3"/>
  <c r="X117" i="3" s="1"/>
  <c r="AO129" i="1"/>
  <c r="AE128" i="1"/>
  <c r="Y67" i="3"/>
  <c r="AE85" i="1"/>
  <c r="AE79" i="1" s="1"/>
  <c r="AE74" i="1" s="1"/>
  <c r="U38" i="3"/>
  <c r="V67" i="3"/>
  <c r="AE97" i="1"/>
  <c r="X67" i="3"/>
  <c r="X38" i="3" s="1"/>
  <c r="R38" i="3"/>
  <c r="X184" i="3"/>
  <c r="R182" i="3"/>
  <c r="X182" i="3" s="1"/>
  <c r="V288" i="3"/>
  <c r="O286" i="3"/>
  <c r="Y159" i="3"/>
  <c r="U157" i="3"/>
  <c r="Y157" i="3" s="1"/>
  <c r="V159" i="3"/>
  <c r="V157" i="3" s="1"/>
  <c r="Y288" i="3"/>
  <c r="Y302" i="3"/>
  <c r="V302" i="3"/>
  <c r="X215" i="3"/>
  <c r="R213" i="3"/>
  <c r="Y78" i="3"/>
  <c r="V78" i="3"/>
  <c r="X78" i="3"/>
  <c r="X76" i="3" s="1"/>
  <c r="P286" i="3"/>
  <c r="R286" i="3" s="1"/>
  <c r="X286" i="3" s="1"/>
  <c r="R288" i="3"/>
  <c r="X288" i="3" s="1"/>
  <c r="U76" i="3"/>
  <c r="S17" i="3"/>
  <c r="W15" i="3"/>
  <c r="P300" i="3"/>
  <c r="R300" i="3" s="1"/>
  <c r="X300" i="3" s="1"/>
  <c r="R302" i="3"/>
  <c r="X302" i="3" s="1"/>
  <c r="X159" i="3"/>
  <c r="V300" i="3"/>
  <c r="Y215" i="3"/>
  <c r="U213" i="3"/>
  <c r="Y213" i="3" s="1"/>
  <c r="R17" i="3"/>
  <c r="AE286" i="3" l="1"/>
  <c r="R157" i="3"/>
  <c r="X157" i="3" s="1"/>
  <c r="AE125" i="1"/>
  <c r="Y38" i="3"/>
  <c r="V38" i="3"/>
  <c r="X213" i="3"/>
  <c r="U17" i="3"/>
  <c r="S15" i="3"/>
  <c r="U15" i="3" s="1"/>
  <c r="Y15" i="3" s="1"/>
  <c r="V286" i="3"/>
  <c r="Y286" i="3"/>
  <c r="Y76" i="3"/>
  <c r="V76" i="3"/>
  <c r="P15" i="3"/>
  <c r="R15" i="3" s="1"/>
  <c r="O15" i="3"/>
  <c r="AE307" i="3" l="1"/>
  <c r="AE309" i="3" s="1"/>
  <c r="X15" i="3"/>
  <c r="Y17" i="3"/>
  <c r="V17" i="3"/>
  <c r="V15" i="3"/>
  <c r="AC127" i="3" l="1"/>
  <c r="AC130" i="3" s="1"/>
  <c r="AE31" i="3"/>
  <c r="AE33" i="3" s="1"/>
  <c r="AE19" i="3"/>
  <c r="AE21" i="3" s="1"/>
  <c r="AL73" i="1" l="1"/>
  <c r="AL72" i="1"/>
  <c r="AJ73" i="1"/>
  <c r="AJ72" i="1"/>
  <c r="AH73" i="1"/>
  <c r="AH72" i="1"/>
  <c r="AF73" i="1"/>
  <c r="AF72" i="1"/>
  <c r="AL102" i="1" l="1"/>
  <c r="AM145" i="1"/>
  <c r="AM130" i="1"/>
  <c r="AM107" i="1"/>
  <c r="AL103" i="1"/>
  <c r="AL101" i="1"/>
  <c r="AL100" i="1"/>
  <c r="AL99" i="1"/>
  <c r="AL97" i="1"/>
  <c r="AL96" i="1"/>
  <c r="AL95" i="1"/>
  <c r="AL94" i="1"/>
  <c r="AL93" i="1"/>
  <c r="AL91" i="1"/>
  <c r="AL88" i="1"/>
  <c r="AL87" i="1"/>
  <c r="AL86" i="1"/>
  <c r="AL84" i="1"/>
  <c r="AL83" i="1"/>
  <c r="AL82" i="1"/>
  <c r="AL80" i="1"/>
  <c r="AL79" i="1"/>
  <c r="AL77" i="1"/>
  <c r="AL76" i="1"/>
  <c r="AL75" i="1"/>
  <c r="AL74" i="1"/>
  <c r="AL107" i="1"/>
  <c r="AL108" i="1"/>
  <c r="AL109" i="1"/>
  <c r="AL110" i="1"/>
  <c r="AL111" i="1"/>
  <c r="AL112" i="1"/>
  <c r="AL114" i="1"/>
  <c r="AL115" i="1"/>
  <c r="AL116" i="1"/>
  <c r="AL117" i="1"/>
  <c r="AL118" i="1"/>
  <c r="AL120" i="1"/>
  <c r="AL121" i="1"/>
  <c r="AL122" i="1"/>
  <c r="AL123" i="1"/>
  <c r="AL124" i="1"/>
  <c r="AL128" i="1"/>
  <c r="AL129" i="1"/>
  <c r="AL130" i="1"/>
  <c r="AL132" i="1"/>
  <c r="AL133" i="1"/>
  <c r="AL134" i="1"/>
  <c r="AL135" i="1"/>
  <c r="AL136" i="1"/>
  <c r="AL137" i="1"/>
  <c r="AL138" i="1"/>
  <c r="AL139" i="1"/>
  <c r="AL141" i="1"/>
  <c r="AL143" i="1"/>
  <c r="AL145" i="1"/>
  <c r="AL146" i="1"/>
  <c r="AL148" i="1"/>
  <c r="AL149" i="1"/>
  <c r="AL151" i="1"/>
  <c r="AL152" i="1"/>
  <c r="AL154" i="1"/>
  <c r="AL155" i="1"/>
  <c r="AL156" i="1" l="1"/>
  <c r="AC126" i="1"/>
  <c r="AC103" i="1"/>
  <c r="AC77" i="1"/>
  <c r="N353" i="2"/>
  <c r="N352" i="2"/>
  <c r="AE343" i="2"/>
  <c r="V343" i="2"/>
  <c r="T340" i="2"/>
  <c r="T339" i="2" s="1"/>
  <c r="T338" i="2" s="1"/>
  <c r="S340" i="2"/>
  <c r="O340" i="2"/>
  <c r="O339" i="2" s="1"/>
  <c r="O338" i="2" s="1"/>
  <c r="Q339" i="2"/>
  <c r="Q338" i="2"/>
  <c r="T337" i="2"/>
  <c r="T336" i="2" s="1"/>
  <c r="T335" i="2" s="1"/>
  <c r="S337" i="2"/>
  <c r="O337" i="2"/>
  <c r="O336" i="2" s="1"/>
  <c r="Q336" i="2"/>
  <c r="Q335" i="2" s="1"/>
  <c r="T334" i="2"/>
  <c r="U334" i="2" s="1"/>
  <c r="O334" i="2"/>
  <c r="O333" i="2" s="1"/>
  <c r="S333" i="2"/>
  <c r="T332" i="2"/>
  <c r="S332" i="2"/>
  <c r="O332" i="2"/>
  <c r="T331" i="2"/>
  <c r="S331" i="2"/>
  <c r="O331" i="2"/>
  <c r="T330" i="2"/>
  <c r="S330" i="2"/>
  <c r="U330" i="2" s="1"/>
  <c r="P330" i="2"/>
  <c r="O330" i="2"/>
  <c r="Q329" i="2"/>
  <c r="Q328" i="2" s="1"/>
  <c r="T327" i="2"/>
  <c r="S327" i="2"/>
  <c r="R327" i="2"/>
  <c r="O327" i="2"/>
  <c r="X326" i="2"/>
  <c r="W326" i="2"/>
  <c r="O326" i="2"/>
  <c r="Y326" i="2" s="1"/>
  <c r="T325" i="2"/>
  <c r="U325" i="2" s="1"/>
  <c r="R325" i="2"/>
  <c r="O325" i="2"/>
  <c r="T324" i="2"/>
  <c r="S324" i="2"/>
  <c r="O324" i="2"/>
  <c r="X323" i="2"/>
  <c r="W323" i="2"/>
  <c r="O323" i="2"/>
  <c r="V323" i="2" s="1"/>
  <c r="X322" i="2"/>
  <c r="W322" i="2"/>
  <c r="O322" i="2"/>
  <c r="V322" i="2" s="1"/>
  <c r="Q321" i="2"/>
  <c r="Q320" i="2"/>
  <c r="T316" i="2"/>
  <c r="T315" i="2" s="1"/>
  <c r="T314" i="2" s="1"/>
  <c r="S316" i="2"/>
  <c r="S315" i="2" s="1"/>
  <c r="O316" i="2"/>
  <c r="O315" i="2" s="1"/>
  <c r="T313" i="2"/>
  <c r="T312" i="2" s="1"/>
  <c r="S313" i="2"/>
  <c r="S312" i="2" s="1"/>
  <c r="S311" i="2" s="1"/>
  <c r="O313" i="2"/>
  <c r="Q312" i="2"/>
  <c r="Q311" i="2" s="1"/>
  <c r="T310" i="2"/>
  <c r="Q310" i="2" s="1"/>
  <c r="S310" i="2"/>
  <c r="O310" i="2"/>
  <c r="T309" i="2"/>
  <c r="Q309" i="2" s="1"/>
  <c r="S309" i="2"/>
  <c r="O309" i="2"/>
  <c r="T308" i="2"/>
  <c r="U308" i="2" s="1"/>
  <c r="X308" i="2" s="1"/>
  <c r="R308" i="2"/>
  <c r="O308" i="2"/>
  <c r="U307" i="2"/>
  <c r="R307" i="2"/>
  <c r="O307" i="2"/>
  <c r="T306" i="2"/>
  <c r="S306" i="2"/>
  <c r="R306" i="2"/>
  <c r="P306" i="2"/>
  <c r="O306" i="2"/>
  <c r="T303" i="2"/>
  <c r="S303" i="2"/>
  <c r="P303" i="2"/>
  <c r="R303" i="2" s="1"/>
  <c r="O303" i="2"/>
  <c r="T302" i="2"/>
  <c r="S302" i="2"/>
  <c r="P302" i="2"/>
  <c r="R302" i="2" s="1"/>
  <c r="O302" i="2"/>
  <c r="T301" i="2"/>
  <c r="Q301" i="2" s="1"/>
  <c r="S301" i="2"/>
  <c r="O301" i="2"/>
  <c r="T300" i="2"/>
  <c r="Q300" i="2" s="1"/>
  <c r="S300" i="2"/>
  <c r="P300" i="2" s="1"/>
  <c r="O300" i="2"/>
  <c r="T299" i="2"/>
  <c r="S299" i="2"/>
  <c r="P299" i="2"/>
  <c r="O299" i="2"/>
  <c r="T298" i="2"/>
  <c r="S298" i="2"/>
  <c r="P298" i="2"/>
  <c r="R298" i="2" s="1"/>
  <c r="O298" i="2"/>
  <c r="O297" i="2"/>
  <c r="Y297" i="2" s="1"/>
  <c r="T287" i="2"/>
  <c r="T286" i="2" s="1"/>
  <c r="S287" i="2"/>
  <c r="S286" i="2" s="1"/>
  <c r="S285" i="2" s="1"/>
  <c r="P287" i="2"/>
  <c r="O287" i="2"/>
  <c r="Q286" i="2"/>
  <c r="Q285" i="2" s="1"/>
  <c r="T284" i="2"/>
  <c r="S284" i="2"/>
  <c r="S281" i="2" s="1"/>
  <c r="P284" i="2"/>
  <c r="R284" i="2" s="1"/>
  <c r="O284" i="2"/>
  <c r="X283" i="2"/>
  <c r="W283" i="2"/>
  <c r="O283" i="2"/>
  <c r="T282" i="2"/>
  <c r="U282" i="2" s="1"/>
  <c r="R282" i="2"/>
  <c r="O282" i="2"/>
  <c r="Q281" i="2"/>
  <c r="T272" i="2"/>
  <c r="T271" i="2" s="1"/>
  <c r="T270" i="2" s="1"/>
  <c r="S272" i="2"/>
  <c r="P272" i="2"/>
  <c r="R272" i="2" s="1"/>
  <c r="O272" i="2"/>
  <c r="Q271" i="2"/>
  <c r="Q270" i="2" s="1"/>
  <c r="P271" i="2"/>
  <c r="T269" i="2"/>
  <c r="Q269" i="2" s="1"/>
  <c r="Q266" i="2" s="1"/>
  <c r="Q265" i="2" s="1"/>
  <c r="S269" i="2"/>
  <c r="P269" i="2"/>
  <c r="O269" i="2"/>
  <c r="T268" i="2"/>
  <c r="S268" i="2"/>
  <c r="P268" i="2"/>
  <c r="R268" i="2" s="1"/>
  <c r="O268" i="2"/>
  <c r="T267" i="2"/>
  <c r="S267" i="2"/>
  <c r="R267" i="2"/>
  <c r="P267" i="2"/>
  <c r="O267" i="2"/>
  <c r="U260" i="2"/>
  <c r="R260" i="2"/>
  <c r="T259" i="2"/>
  <c r="T258" i="2" s="1"/>
  <c r="T257" i="2" s="1"/>
  <c r="S259" i="2"/>
  <c r="S258" i="2" s="1"/>
  <c r="R259" i="2"/>
  <c r="P259" i="2"/>
  <c r="O259" i="2"/>
  <c r="O258" i="2" s="1"/>
  <c r="O257" i="2" s="1"/>
  <c r="Q258" i="2"/>
  <c r="Q257" i="2" s="1"/>
  <c r="P258" i="2"/>
  <c r="P257" i="2" s="1"/>
  <c r="T256" i="2"/>
  <c r="S256" i="2"/>
  <c r="P256" i="2"/>
  <c r="R256" i="2" s="1"/>
  <c r="O256" i="2"/>
  <c r="T255" i="2"/>
  <c r="S255" i="2"/>
  <c r="P255" i="2"/>
  <c r="R255" i="2" s="1"/>
  <c r="O255" i="2"/>
  <c r="S254" i="2"/>
  <c r="Q254" i="2"/>
  <c r="Q253" i="2" s="1"/>
  <c r="S253" i="2"/>
  <c r="T252" i="2"/>
  <c r="U252" i="2" s="1"/>
  <c r="R252" i="2"/>
  <c r="O252" i="2"/>
  <c r="T251" i="2"/>
  <c r="U251" i="2" s="1"/>
  <c r="R251" i="2"/>
  <c r="O251" i="2"/>
  <c r="S250" i="2"/>
  <c r="Q250" i="2"/>
  <c r="P250" i="2"/>
  <c r="R250" i="2" s="1"/>
  <c r="T249" i="2"/>
  <c r="Q249" i="2" s="1"/>
  <c r="Q244" i="2" s="1"/>
  <c r="Q243" i="2" s="1"/>
  <c r="S249" i="2"/>
  <c r="P249" i="2"/>
  <c r="O249" i="2"/>
  <c r="U248" i="2"/>
  <c r="S248" i="2"/>
  <c r="R248" i="2"/>
  <c r="X248" i="2" s="1"/>
  <c r="O248" i="2"/>
  <c r="T247" i="2"/>
  <c r="U247" i="2" s="1"/>
  <c r="W247" i="2" s="1"/>
  <c r="R247" i="2"/>
  <c r="O247" i="2"/>
  <c r="T246" i="2"/>
  <c r="S246" i="2"/>
  <c r="P246" i="2"/>
  <c r="R246" i="2" s="1"/>
  <c r="O246" i="2"/>
  <c r="T245" i="2"/>
  <c r="S245" i="2"/>
  <c r="P245" i="2"/>
  <c r="R245" i="2" s="1"/>
  <c r="O245" i="2"/>
  <c r="T242" i="2"/>
  <c r="S242" i="2"/>
  <c r="R242" i="2"/>
  <c r="O242" i="2"/>
  <c r="T241" i="2"/>
  <c r="S241" i="2"/>
  <c r="Q241" i="2"/>
  <c r="P241" i="2"/>
  <c r="O241" i="2"/>
  <c r="T240" i="2"/>
  <c r="S240" i="2"/>
  <c r="R240" i="2"/>
  <c r="P240" i="2"/>
  <c r="O240" i="2"/>
  <c r="T239" i="2"/>
  <c r="S239" i="2"/>
  <c r="R239" i="2"/>
  <c r="O239" i="2"/>
  <c r="T238" i="2"/>
  <c r="S238" i="2"/>
  <c r="Q238" i="2"/>
  <c r="O238" i="2"/>
  <c r="T237" i="2"/>
  <c r="S237" i="2"/>
  <c r="P237" i="2"/>
  <c r="R237" i="2" s="1"/>
  <c r="O237" i="2"/>
  <c r="T236" i="2"/>
  <c r="S236" i="2"/>
  <c r="Q236" i="2"/>
  <c r="P236" i="2"/>
  <c r="O236" i="2"/>
  <c r="T235" i="2"/>
  <c r="S235" i="2"/>
  <c r="P235" i="2"/>
  <c r="R235" i="2" s="1"/>
  <c r="O235" i="2"/>
  <c r="T234" i="2"/>
  <c r="S234" i="2"/>
  <c r="Q234" i="2"/>
  <c r="P234" i="2"/>
  <c r="R234" i="2" s="1"/>
  <c r="O234" i="2"/>
  <c r="T233" i="2"/>
  <c r="S233" i="2"/>
  <c r="P233" i="2"/>
  <c r="O233" i="2"/>
  <c r="T227" i="2"/>
  <c r="Q227" i="2" s="1"/>
  <c r="S227" i="2"/>
  <c r="P227" i="2"/>
  <c r="O227" i="2"/>
  <c r="O226" i="2" s="1"/>
  <c r="P226" i="2"/>
  <c r="T225" i="2"/>
  <c r="Q225" i="2" s="1"/>
  <c r="S225" i="2"/>
  <c r="P225" i="2" s="1"/>
  <c r="O225" i="2"/>
  <c r="T224" i="2"/>
  <c r="Q224" i="2" s="1"/>
  <c r="S224" i="2"/>
  <c r="O224" i="2"/>
  <c r="T223" i="2"/>
  <c r="Q223" i="2" s="1"/>
  <c r="S223" i="2"/>
  <c r="P223" i="2" s="1"/>
  <c r="O223" i="2"/>
  <c r="T220" i="2"/>
  <c r="S220" i="2"/>
  <c r="P220" i="2" s="1"/>
  <c r="O220" i="2"/>
  <c r="T219" i="2"/>
  <c r="Q219" i="2" s="1"/>
  <c r="S219" i="2"/>
  <c r="P219" i="2" s="1"/>
  <c r="O219" i="2"/>
  <c r="T218" i="2"/>
  <c r="Q218" i="2" s="1"/>
  <c r="S218" i="2"/>
  <c r="P218" i="2" s="1"/>
  <c r="O218" i="2"/>
  <c r="T217" i="2"/>
  <c r="S217" i="2"/>
  <c r="O217" i="2"/>
  <c r="T216" i="2"/>
  <c r="Q216" i="2" s="1"/>
  <c r="S216" i="2"/>
  <c r="P216" i="2" s="1"/>
  <c r="O216" i="2"/>
  <c r="T215" i="2"/>
  <c r="Q215" i="2" s="1"/>
  <c r="S215" i="2"/>
  <c r="O215" i="2"/>
  <c r="V208" i="2"/>
  <c r="U208" i="2"/>
  <c r="R208" i="2"/>
  <c r="X208" i="2" s="1"/>
  <c r="V206" i="2"/>
  <c r="U206" i="2"/>
  <c r="W206" i="2" s="1"/>
  <c r="R206" i="2"/>
  <c r="X206" i="2" s="1"/>
  <c r="T205" i="2"/>
  <c r="Q205" i="2" s="1"/>
  <c r="Q204" i="2" s="1"/>
  <c r="Q203" i="2" s="1"/>
  <c r="S205" i="2"/>
  <c r="O205" i="2"/>
  <c r="T202" i="2"/>
  <c r="S202" i="2"/>
  <c r="U202" i="2" s="1"/>
  <c r="P202" i="2"/>
  <c r="R202" i="2" s="1"/>
  <c r="O202" i="2"/>
  <c r="T201" i="2"/>
  <c r="S201" i="2"/>
  <c r="P201" i="2"/>
  <c r="R201" i="2" s="1"/>
  <c r="O201" i="2"/>
  <c r="S200" i="2"/>
  <c r="Q200" i="2"/>
  <c r="Q199" i="2" s="1"/>
  <c r="S199" i="2"/>
  <c r="X198" i="2"/>
  <c r="S198" i="2"/>
  <c r="P198" i="2" s="1"/>
  <c r="O198" i="2"/>
  <c r="V198" i="2" s="1"/>
  <c r="X197" i="2"/>
  <c r="P197" i="2"/>
  <c r="O197" i="2"/>
  <c r="V197" i="2" s="1"/>
  <c r="T196" i="2"/>
  <c r="Q196" i="2" s="1"/>
  <c r="P196" i="2"/>
  <c r="O196" i="2"/>
  <c r="T195" i="2"/>
  <c r="S195" i="2"/>
  <c r="P195" i="2" s="1"/>
  <c r="R195" i="2" s="1"/>
  <c r="O195" i="2"/>
  <c r="T194" i="2"/>
  <c r="S194" i="2"/>
  <c r="P194" i="2"/>
  <c r="R194" i="2" s="1"/>
  <c r="O194" i="2"/>
  <c r="T193" i="2"/>
  <c r="S193" i="2"/>
  <c r="O193" i="2"/>
  <c r="T192" i="2"/>
  <c r="Q192" i="2" s="1"/>
  <c r="S192" i="2"/>
  <c r="P192" i="2" s="1"/>
  <c r="O192" i="2"/>
  <c r="T189" i="2"/>
  <c r="S189" i="2"/>
  <c r="R189" i="2"/>
  <c r="T188" i="2"/>
  <c r="U188" i="2" s="1"/>
  <c r="S188" i="2"/>
  <c r="P188" i="2"/>
  <c r="R188" i="2" s="1"/>
  <c r="O188" i="2"/>
  <c r="T187" i="2"/>
  <c r="S187" i="2"/>
  <c r="O187" i="2"/>
  <c r="T186" i="2"/>
  <c r="S186" i="2"/>
  <c r="Q186" i="2"/>
  <c r="P186" i="2"/>
  <c r="R186" i="2" s="1"/>
  <c r="O186" i="2"/>
  <c r="T185" i="2"/>
  <c r="S185" i="2"/>
  <c r="P185" i="2"/>
  <c r="R185" i="2" s="1"/>
  <c r="O185" i="2"/>
  <c r="T184" i="2"/>
  <c r="Q184" i="2" s="1"/>
  <c r="S184" i="2"/>
  <c r="P184" i="2"/>
  <c r="O184" i="2"/>
  <c r="T183" i="2"/>
  <c r="Q183" i="2" s="1"/>
  <c r="S183" i="2"/>
  <c r="P183" i="2"/>
  <c r="O183" i="2"/>
  <c r="T182" i="2"/>
  <c r="Q182" i="2" s="1"/>
  <c r="S182" i="2"/>
  <c r="P182" i="2"/>
  <c r="O182" i="2"/>
  <c r="T181" i="2"/>
  <c r="S181" i="2"/>
  <c r="P181" i="2"/>
  <c r="R181" i="2" s="1"/>
  <c r="O181" i="2"/>
  <c r="T180" i="2"/>
  <c r="S180" i="2"/>
  <c r="P180" i="2"/>
  <c r="R180" i="2" s="1"/>
  <c r="O180" i="2"/>
  <c r="T179" i="2"/>
  <c r="S179" i="2"/>
  <c r="P179" i="2"/>
  <c r="R179" i="2" s="1"/>
  <c r="O179" i="2"/>
  <c r="T178" i="2"/>
  <c r="S178" i="2"/>
  <c r="R178" i="2"/>
  <c r="P178" i="2"/>
  <c r="O178" i="2"/>
  <c r="U171" i="2"/>
  <c r="V171" i="2" s="1"/>
  <c r="R171" i="2"/>
  <c r="X171" i="2" s="1"/>
  <c r="T170" i="2"/>
  <c r="T169" i="2" s="1"/>
  <c r="T168" i="2" s="1"/>
  <c r="S170" i="2"/>
  <c r="S169" i="2" s="1"/>
  <c r="R170" i="2"/>
  <c r="P170" i="2"/>
  <c r="P169" i="2" s="1"/>
  <c r="O170" i="2"/>
  <c r="O169" i="2" s="1"/>
  <c r="Q169" i="2"/>
  <c r="Q168" i="2"/>
  <c r="T167" i="2"/>
  <c r="S167" i="2"/>
  <c r="P167" i="2"/>
  <c r="R167" i="2" s="1"/>
  <c r="O167" i="2"/>
  <c r="T166" i="2"/>
  <c r="S166" i="2"/>
  <c r="Q166" i="2"/>
  <c r="Q165" i="2" s="1"/>
  <c r="P166" i="2"/>
  <c r="R166" i="2" s="1"/>
  <c r="O166" i="2"/>
  <c r="T164" i="2"/>
  <c r="S164" i="2"/>
  <c r="P164" i="2"/>
  <c r="R164" i="2" s="1"/>
  <c r="O164" i="2"/>
  <c r="T163" i="2"/>
  <c r="S163" i="2"/>
  <c r="S162" i="2" s="1"/>
  <c r="R163" i="2"/>
  <c r="P163" i="2"/>
  <c r="P162" i="2" s="1"/>
  <c r="O163" i="2"/>
  <c r="Q162" i="2"/>
  <c r="T160" i="2"/>
  <c r="S160" i="2"/>
  <c r="Q160" i="2"/>
  <c r="R160" i="2" s="1"/>
  <c r="P160" i="2"/>
  <c r="O160" i="2"/>
  <c r="T159" i="2"/>
  <c r="S159" i="2"/>
  <c r="P159" i="2"/>
  <c r="R159" i="2" s="1"/>
  <c r="O159" i="2"/>
  <c r="T158" i="2"/>
  <c r="Q158" i="2" s="1"/>
  <c r="S158" i="2"/>
  <c r="P158" i="2"/>
  <c r="O158" i="2"/>
  <c r="P157" i="2"/>
  <c r="U151" i="2"/>
  <c r="W151" i="2" s="1"/>
  <c r="R151" i="2"/>
  <c r="X151" i="2" s="1"/>
  <c r="U149" i="2"/>
  <c r="V149" i="2" s="1"/>
  <c r="R149" i="2"/>
  <c r="X149" i="2" s="1"/>
  <c r="T148" i="2"/>
  <c r="Q148" i="2" s="1"/>
  <c r="S148" i="2"/>
  <c r="S147" i="2" s="1"/>
  <c r="P148" i="2"/>
  <c r="P147" i="2" s="1"/>
  <c r="O148" i="2"/>
  <c r="O147" i="2" s="1"/>
  <c r="O146" i="2" s="1"/>
  <c r="O145" i="2" s="1"/>
  <c r="U143" i="2"/>
  <c r="V143" i="2" s="1"/>
  <c r="T142" i="2"/>
  <c r="S142" i="2"/>
  <c r="P142" i="2"/>
  <c r="R142" i="2" s="1"/>
  <c r="O142" i="2"/>
  <c r="T141" i="2"/>
  <c r="S141" i="2"/>
  <c r="Q141" i="2"/>
  <c r="Q137" i="2" s="1"/>
  <c r="Q136" i="2" s="1"/>
  <c r="P141" i="2"/>
  <c r="R141" i="2" s="1"/>
  <c r="O141" i="2"/>
  <c r="T140" i="2"/>
  <c r="S140" i="2"/>
  <c r="R140" i="2"/>
  <c r="O140" i="2"/>
  <c r="T139" i="2"/>
  <c r="S139" i="2"/>
  <c r="R139" i="2"/>
  <c r="O139" i="2"/>
  <c r="T138" i="2"/>
  <c r="S138" i="2"/>
  <c r="P138" i="2"/>
  <c r="R138" i="2" s="1"/>
  <c r="O138" i="2"/>
  <c r="T135" i="2"/>
  <c r="Q135" i="2" s="1"/>
  <c r="R135" i="2" s="1"/>
  <c r="S135" i="2"/>
  <c r="S133" i="2" s="1"/>
  <c r="P135" i="2"/>
  <c r="O135" i="2"/>
  <c r="T134" i="2"/>
  <c r="U134" i="2" s="1"/>
  <c r="X134" i="2" s="1"/>
  <c r="R134" i="2"/>
  <c r="O134" i="2"/>
  <c r="P133" i="2"/>
  <c r="P132" i="2" s="1"/>
  <c r="U129" i="2"/>
  <c r="R129" i="2"/>
  <c r="X129" i="2" s="1"/>
  <c r="T128" i="2"/>
  <c r="T127" i="2" s="1"/>
  <c r="T126" i="2" s="1"/>
  <c r="S128" i="2"/>
  <c r="R128" i="2"/>
  <c r="P128" i="2"/>
  <c r="O128" i="2"/>
  <c r="O127" i="2" s="1"/>
  <c r="S127" i="2"/>
  <c r="Q127" i="2"/>
  <c r="P127" i="2"/>
  <c r="S126" i="2"/>
  <c r="Q126" i="2"/>
  <c r="T125" i="2"/>
  <c r="S125" i="2"/>
  <c r="P125" i="2"/>
  <c r="R125" i="2" s="1"/>
  <c r="O125" i="2"/>
  <c r="T124" i="2"/>
  <c r="Q124" i="2" s="1"/>
  <c r="Q123" i="2" s="1"/>
  <c r="Q122" i="2" s="1"/>
  <c r="S124" i="2"/>
  <c r="P124" i="2" s="1"/>
  <c r="P123" i="2" s="1"/>
  <c r="O124" i="2"/>
  <c r="S122" i="2"/>
  <c r="T121" i="2"/>
  <c r="T120" i="2" s="1"/>
  <c r="T119" i="2" s="1"/>
  <c r="S121" i="2"/>
  <c r="P121" i="2"/>
  <c r="R121" i="2" s="1"/>
  <c r="O121" i="2"/>
  <c r="Q120" i="2"/>
  <c r="Q119" i="2" s="1"/>
  <c r="P120" i="2"/>
  <c r="U116" i="2"/>
  <c r="V116" i="2" s="1"/>
  <c r="R116" i="2"/>
  <c r="U114" i="2"/>
  <c r="V114" i="2" s="1"/>
  <c r="R114" i="2"/>
  <c r="T113" i="2"/>
  <c r="S113" i="2"/>
  <c r="P113" i="2"/>
  <c r="R113" i="2" s="1"/>
  <c r="O113" i="2"/>
  <c r="T112" i="2"/>
  <c r="S112" i="2"/>
  <c r="R112" i="2"/>
  <c r="P112" i="2"/>
  <c r="O112" i="2"/>
  <c r="Q111" i="2"/>
  <c r="T110" i="2"/>
  <c r="S110" i="2"/>
  <c r="P110" i="2"/>
  <c r="R110" i="2" s="1"/>
  <c r="O110" i="2"/>
  <c r="T109" i="2"/>
  <c r="S109" i="2"/>
  <c r="P109" i="2"/>
  <c r="R109" i="2" s="1"/>
  <c r="O109" i="2"/>
  <c r="T108" i="2"/>
  <c r="S108" i="2"/>
  <c r="P108" i="2"/>
  <c r="R108" i="2" s="1"/>
  <c r="O108" i="2"/>
  <c r="T107" i="2"/>
  <c r="S107" i="2"/>
  <c r="P107" i="2"/>
  <c r="R107" i="2" s="1"/>
  <c r="O107" i="2"/>
  <c r="Q106" i="2"/>
  <c r="Q105" i="2" s="1"/>
  <c r="Q104" i="2" s="1"/>
  <c r="U103" i="2"/>
  <c r="V103" i="2" s="1"/>
  <c r="R103" i="2"/>
  <c r="X103" i="2" s="1"/>
  <c r="Q103" i="2"/>
  <c r="T102" i="2"/>
  <c r="S102" i="2"/>
  <c r="Q102" i="2"/>
  <c r="P102" i="2"/>
  <c r="R102" i="2" s="1"/>
  <c r="O102" i="2"/>
  <c r="T101" i="2"/>
  <c r="S101" i="2"/>
  <c r="P101" i="2"/>
  <c r="R101" i="2" s="1"/>
  <c r="O101" i="2"/>
  <c r="T100" i="2"/>
  <c r="Q100" i="2" s="1"/>
  <c r="S100" i="2"/>
  <c r="P100" i="2"/>
  <c r="O100" i="2"/>
  <c r="T99" i="2"/>
  <c r="Q99" i="2" s="1"/>
  <c r="Q98" i="2" s="1"/>
  <c r="Q97" i="2" s="1"/>
  <c r="Q96" i="2" s="1"/>
  <c r="S99" i="2"/>
  <c r="P99" i="2"/>
  <c r="O99" i="2"/>
  <c r="U95" i="2"/>
  <c r="V95" i="2" s="1"/>
  <c r="R95" i="2"/>
  <c r="T94" i="2"/>
  <c r="T93" i="2" s="1"/>
  <c r="T92" i="2" s="1"/>
  <c r="T91" i="2" s="1"/>
  <c r="T90" i="2" s="1"/>
  <c r="S94" i="2"/>
  <c r="P94" i="2"/>
  <c r="R94" i="2" s="1"/>
  <c r="O94" i="2"/>
  <c r="Q93" i="2"/>
  <c r="Q92" i="2" s="1"/>
  <c r="Q91" i="2" s="1"/>
  <c r="Q90" i="2" s="1"/>
  <c r="P93" i="2"/>
  <c r="R93" i="2" s="1"/>
  <c r="R89" i="2"/>
  <c r="T86" i="2"/>
  <c r="S86" i="2"/>
  <c r="O86" i="2"/>
  <c r="O85" i="2" s="1"/>
  <c r="O84" i="2" s="1"/>
  <c r="T81" i="2"/>
  <c r="Q81" i="2" s="1"/>
  <c r="Q80" i="2" s="1"/>
  <c r="Q79" i="2" s="1"/>
  <c r="Q78" i="2" s="1"/>
  <c r="S81" i="2"/>
  <c r="P81" i="2" s="1"/>
  <c r="P80" i="2" s="1"/>
  <c r="P79" i="2" s="1"/>
  <c r="P78" i="2" s="1"/>
  <c r="O81" i="2"/>
  <c r="O80" i="2" s="1"/>
  <c r="O79" i="2" s="1"/>
  <c r="O78" i="2" s="1"/>
  <c r="V74" i="2"/>
  <c r="U74" i="2"/>
  <c r="R74" i="2"/>
  <c r="X74" i="2" s="1"/>
  <c r="T73" i="2"/>
  <c r="T72" i="2" s="1"/>
  <c r="T71" i="2" s="1"/>
  <c r="S73" i="2"/>
  <c r="P73" i="2"/>
  <c r="R73" i="2" s="1"/>
  <c r="R72" i="2" s="1"/>
  <c r="R71" i="2" s="1"/>
  <c r="O73" i="2"/>
  <c r="Q72" i="2"/>
  <c r="Q71" i="2" s="1"/>
  <c r="P72" i="2"/>
  <c r="P71" i="2" s="1"/>
  <c r="T70" i="2"/>
  <c r="T69" i="2" s="1"/>
  <c r="S70" i="2"/>
  <c r="S69" i="2" s="1"/>
  <c r="P70" i="2"/>
  <c r="O70" i="2"/>
  <c r="Q69" i="2"/>
  <c r="Q68" i="2" s="1"/>
  <c r="Q67" i="2" s="1"/>
  <c r="Q66" i="2" s="1"/>
  <c r="U65" i="2"/>
  <c r="W65" i="2" s="1"/>
  <c r="R65" i="2"/>
  <c r="T64" i="2"/>
  <c r="T63" i="2" s="1"/>
  <c r="T62" i="2" s="1"/>
  <c r="T61" i="2" s="1"/>
  <c r="T60" i="2" s="1"/>
  <c r="S64" i="2"/>
  <c r="P64" i="2"/>
  <c r="R64" i="2" s="1"/>
  <c r="O64" i="2"/>
  <c r="O63" i="2" s="1"/>
  <c r="Q63" i="2"/>
  <c r="P63" i="2"/>
  <c r="Q62" i="2"/>
  <c r="Q61" i="2" s="1"/>
  <c r="Q60" i="2" s="1"/>
  <c r="X59" i="2"/>
  <c r="V59" i="2"/>
  <c r="R59" i="2"/>
  <c r="W59" i="2" s="1"/>
  <c r="T58" i="2"/>
  <c r="Q58" i="2" s="1"/>
  <c r="Q57" i="2" s="1"/>
  <c r="Q56" i="2" s="1"/>
  <c r="S58" i="2"/>
  <c r="P58" i="2"/>
  <c r="P57" i="2" s="1"/>
  <c r="O58" i="2"/>
  <c r="O57" i="2" s="1"/>
  <c r="O56" i="2" s="1"/>
  <c r="S57" i="2"/>
  <c r="S56" i="2"/>
  <c r="T55" i="2"/>
  <c r="S55" i="2"/>
  <c r="P55" i="2"/>
  <c r="R55" i="2" s="1"/>
  <c r="O55" i="2"/>
  <c r="T54" i="2"/>
  <c r="S54" i="2"/>
  <c r="Q54" i="2"/>
  <c r="Q49" i="2" s="1"/>
  <c r="P54" i="2"/>
  <c r="R54" i="2" s="1"/>
  <c r="O54" i="2"/>
  <c r="T53" i="2"/>
  <c r="S53" i="2"/>
  <c r="R53" i="2"/>
  <c r="P53" i="2"/>
  <c r="O53" i="2"/>
  <c r="T52" i="2"/>
  <c r="S52" i="2"/>
  <c r="P52" i="2"/>
  <c r="R52" i="2" s="1"/>
  <c r="O52" i="2"/>
  <c r="T51" i="2"/>
  <c r="S51" i="2"/>
  <c r="P51" i="2"/>
  <c r="R51" i="2" s="1"/>
  <c r="O51" i="2"/>
  <c r="T50" i="2"/>
  <c r="S50" i="2"/>
  <c r="P50" i="2"/>
  <c r="O50" i="2"/>
  <c r="Q48" i="2"/>
  <c r="V45" i="2"/>
  <c r="U45" i="2"/>
  <c r="R45" i="2"/>
  <c r="W45" i="2" s="1"/>
  <c r="T44" i="2"/>
  <c r="T43" i="2" s="1"/>
  <c r="S44" i="2"/>
  <c r="S43" i="2" s="1"/>
  <c r="S42" i="2" s="1"/>
  <c r="P44" i="2"/>
  <c r="R44" i="2" s="1"/>
  <c r="O44" i="2"/>
  <c r="Q43" i="2"/>
  <c r="Q42" i="2" s="1"/>
  <c r="Q41" i="2" s="1"/>
  <c r="Q40" i="2" s="1"/>
  <c r="P43" i="2"/>
  <c r="P42" i="2" s="1"/>
  <c r="R39" i="2"/>
  <c r="U37" i="2"/>
  <c r="T36" i="2"/>
  <c r="T35" i="2" s="1"/>
  <c r="T34" i="2" s="1"/>
  <c r="S36" i="2"/>
  <c r="S35" i="2" s="1"/>
  <c r="P36" i="2"/>
  <c r="O36" i="2"/>
  <c r="O35" i="2" s="1"/>
  <c r="O34" i="2" s="1"/>
  <c r="T33" i="2"/>
  <c r="S33" i="2"/>
  <c r="P33" i="2"/>
  <c r="R33" i="2" s="1"/>
  <c r="O33" i="2"/>
  <c r="AE32" i="2"/>
  <c r="T32" i="2"/>
  <c r="S32" i="2"/>
  <c r="P32" i="2"/>
  <c r="R32" i="2" s="1"/>
  <c r="O32" i="2"/>
  <c r="T31" i="2"/>
  <c r="S31" i="2"/>
  <c r="Q31" i="2"/>
  <c r="P31" i="2"/>
  <c r="R31" i="2" s="1"/>
  <c r="O31" i="2"/>
  <c r="T30" i="2"/>
  <c r="S30" i="2"/>
  <c r="P30" i="2"/>
  <c r="R30" i="2" s="1"/>
  <c r="O30" i="2"/>
  <c r="T29" i="2"/>
  <c r="S29" i="2"/>
  <c r="R29" i="2"/>
  <c r="P29" i="2"/>
  <c r="O29" i="2"/>
  <c r="T28" i="2"/>
  <c r="S28" i="2"/>
  <c r="P28" i="2"/>
  <c r="R28" i="2" s="1"/>
  <c r="O28" i="2"/>
  <c r="AE27" i="2"/>
  <c r="T27" i="2"/>
  <c r="S27" i="2"/>
  <c r="Q27" i="2"/>
  <c r="P27" i="2"/>
  <c r="O27" i="2"/>
  <c r="T26" i="2"/>
  <c r="S26" i="2"/>
  <c r="Q26" i="2"/>
  <c r="P26" i="2"/>
  <c r="R26" i="2" s="1"/>
  <c r="O26" i="2"/>
  <c r="T25" i="2"/>
  <c r="S25" i="2"/>
  <c r="Q25" i="2"/>
  <c r="P25" i="2"/>
  <c r="O25" i="2"/>
  <c r="T24" i="2"/>
  <c r="S24" i="2"/>
  <c r="Q24" i="2"/>
  <c r="P24" i="2"/>
  <c r="R24" i="2" s="1"/>
  <c r="O24" i="2"/>
  <c r="Q23" i="2"/>
  <c r="AE20" i="2"/>
  <c r="O4" i="2"/>
  <c r="U86" i="2" l="1"/>
  <c r="U85" i="2" s="1"/>
  <c r="Y202" i="2"/>
  <c r="U25" i="2"/>
  <c r="O281" i="2"/>
  <c r="U327" i="2"/>
  <c r="R257" i="2"/>
  <c r="Q161" i="2"/>
  <c r="R25" i="2"/>
  <c r="X65" i="2"/>
  <c r="X95" i="2"/>
  <c r="X252" i="2"/>
  <c r="Q264" i="2"/>
  <c r="Q263" i="2" s="1"/>
  <c r="Q261" i="2" s="1"/>
  <c r="P281" i="2"/>
  <c r="R281" i="2" s="1"/>
  <c r="W307" i="2"/>
  <c r="U315" i="2"/>
  <c r="V315" i="2" s="1"/>
  <c r="R27" i="2"/>
  <c r="V65" i="2"/>
  <c r="W74" i="2"/>
  <c r="Q118" i="2"/>
  <c r="Q117" i="2" s="1"/>
  <c r="W129" i="2"/>
  <c r="W143" i="2"/>
  <c r="W208" i="2"/>
  <c r="W248" i="2"/>
  <c r="R258" i="2"/>
  <c r="X260" i="2"/>
  <c r="W95" i="2"/>
  <c r="P137" i="2"/>
  <c r="P136" i="2" s="1"/>
  <c r="P131" i="2" s="1"/>
  <c r="X143" i="2"/>
  <c r="R227" i="2"/>
  <c r="R241" i="2"/>
  <c r="V260" i="2"/>
  <c r="R236" i="2"/>
  <c r="T254" i="2"/>
  <c r="T253" i="2" s="1"/>
  <c r="U253" i="2" s="1"/>
  <c r="X45" i="2"/>
  <c r="P111" i="2"/>
  <c r="R111" i="2" s="1"/>
  <c r="W114" i="2"/>
  <c r="V151" i="2"/>
  <c r="R183" i="2"/>
  <c r="Q280" i="2"/>
  <c r="Q279" i="2" s="1"/>
  <c r="Q278" i="2" s="1"/>
  <c r="Q276" i="2" s="1"/>
  <c r="Q274" i="2" s="1"/>
  <c r="Q232" i="2"/>
  <c r="Q231" i="2" s="1"/>
  <c r="Q230" i="2" s="1"/>
  <c r="Q229" i="2" s="1"/>
  <c r="U298" i="2"/>
  <c r="Y298" i="2" s="1"/>
  <c r="U26" i="2"/>
  <c r="Y26" i="2" s="1"/>
  <c r="U94" i="2"/>
  <c r="Y94" i="2" s="1"/>
  <c r="U102" i="2"/>
  <c r="V102" i="2" s="1"/>
  <c r="U246" i="2"/>
  <c r="P316" i="2"/>
  <c r="U141" i="2"/>
  <c r="X141" i="2" s="1"/>
  <c r="O177" i="2"/>
  <c r="O176" i="2" s="1"/>
  <c r="U201" i="2"/>
  <c r="Y201" i="2" s="1"/>
  <c r="U30" i="2"/>
  <c r="V30" i="2" s="1"/>
  <c r="U32" i="2"/>
  <c r="V32" i="2" s="1"/>
  <c r="Y251" i="2"/>
  <c r="U324" i="2"/>
  <c r="O162" i="2"/>
  <c r="U43" i="2"/>
  <c r="U216" i="2"/>
  <c r="Y216" i="2" s="1"/>
  <c r="U267" i="2"/>
  <c r="Y267" i="2" s="1"/>
  <c r="U269" i="2"/>
  <c r="V269" i="2" s="1"/>
  <c r="T321" i="2"/>
  <c r="T320" i="2" s="1"/>
  <c r="U245" i="2"/>
  <c r="X245" i="2" s="1"/>
  <c r="V297" i="2"/>
  <c r="U35" i="2"/>
  <c r="U44" i="2"/>
  <c r="V44" i="2" s="1"/>
  <c r="S49" i="2"/>
  <c r="S48" i="2" s="1"/>
  <c r="U54" i="2"/>
  <c r="Y54" i="2" s="1"/>
  <c r="U109" i="2"/>
  <c r="Y109" i="2" s="1"/>
  <c r="U110" i="2"/>
  <c r="V110" i="2" s="1"/>
  <c r="S123" i="2"/>
  <c r="U128" i="2"/>
  <c r="X128" i="2" s="1"/>
  <c r="U159" i="2"/>
  <c r="V159" i="2" s="1"/>
  <c r="U169" i="2"/>
  <c r="Y169" i="2" s="1"/>
  <c r="U178" i="2"/>
  <c r="V178" i="2" s="1"/>
  <c r="U179" i="2"/>
  <c r="Y179" i="2" s="1"/>
  <c r="U180" i="2"/>
  <c r="Y180" i="2" s="1"/>
  <c r="U189" i="2"/>
  <c r="Y189" i="2" s="1"/>
  <c r="S191" i="2"/>
  <c r="S190" i="2" s="1"/>
  <c r="T232" i="2"/>
  <c r="T231" i="2" s="1"/>
  <c r="U238" i="2"/>
  <c r="V238" i="2" s="1"/>
  <c r="U284" i="2"/>
  <c r="Y284" i="2" s="1"/>
  <c r="T111" i="2"/>
  <c r="T147" i="2"/>
  <c r="T146" i="2" s="1"/>
  <c r="T145" i="2" s="1"/>
  <c r="T144" i="2" s="1"/>
  <c r="U163" i="2"/>
  <c r="X163" i="2" s="1"/>
  <c r="U51" i="2"/>
  <c r="X51" i="2" s="1"/>
  <c r="U52" i="2"/>
  <c r="V52" i="2" s="1"/>
  <c r="U112" i="2"/>
  <c r="X112" i="2" s="1"/>
  <c r="O165" i="2"/>
  <c r="O161" i="2" s="1"/>
  <c r="U181" i="2"/>
  <c r="Y181" i="2" s="1"/>
  <c r="U182" i="2"/>
  <c r="V182" i="2" s="1"/>
  <c r="U184" i="2"/>
  <c r="Y184" i="2" s="1"/>
  <c r="U185" i="2"/>
  <c r="Y185" i="2" s="1"/>
  <c r="U256" i="2"/>
  <c r="Y256" i="2" s="1"/>
  <c r="U309" i="2"/>
  <c r="Y309" i="2" s="1"/>
  <c r="Y327" i="2"/>
  <c r="S111" i="2"/>
  <c r="V245" i="2"/>
  <c r="U299" i="2"/>
  <c r="U316" i="2"/>
  <c r="Y316" i="2" s="1"/>
  <c r="T23" i="2"/>
  <c r="T22" i="2" s="1"/>
  <c r="T21" i="2" s="1"/>
  <c r="T19" i="2" s="1"/>
  <c r="U27" i="2"/>
  <c r="V27" i="2" s="1"/>
  <c r="U33" i="2"/>
  <c r="Y33" i="2" s="1"/>
  <c r="Y86" i="2"/>
  <c r="U101" i="2"/>
  <c r="Y101" i="2" s="1"/>
  <c r="U108" i="2"/>
  <c r="X108" i="2" s="1"/>
  <c r="U135" i="2"/>
  <c r="V135" i="2" s="1"/>
  <c r="U139" i="2"/>
  <c r="Y139" i="2" s="1"/>
  <c r="U140" i="2"/>
  <c r="X140" i="2" s="1"/>
  <c r="Y188" i="2"/>
  <c r="U192" i="2"/>
  <c r="V192" i="2" s="1"/>
  <c r="U194" i="2"/>
  <c r="V194" i="2" s="1"/>
  <c r="T200" i="2"/>
  <c r="T199" i="2" s="1"/>
  <c r="U199" i="2" s="1"/>
  <c r="U235" i="2"/>
  <c r="Y235" i="2" s="1"/>
  <c r="O266" i="2"/>
  <c r="O265" i="2" s="1"/>
  <c r="X282" i="2"/>
  <c r="Q316" i="2"/>
  <c r="Q315" i="2" s="1"/>
  <c r="Q314" i="2" s="1"/>
  <c r="V330" i="2"/>
  <c r="U340" i="2"/>
  <c r="W25" i="2"/>
  <c r="U50" i="2"/>
  <c r="Y50" i="2" s="1"/>
  <c r="S98" i="2"/>
  <c r="S97" i="2" s="1"/>
  <c r="S96" i="2" s="1"/>
  <c r="T222" i="2"/>
  <c r="T221" i="2" s="1"/>
  <c r="U29" i="2"/>
  <c r="W29" i="2" s="1"/>
  <c r="T98" i="2"/>
  <c r="T97" i="2" s="1"/>
  <c r="T96" i="2" s="1"/>
  <c r="U166" i="2"/>
  <c r="Y166" i="2" s="1"/>
  <c r="U195" i="2"/>
  <c r="Y195" i="2" s="1"/>
  <c r="U219" i="2"/>
  <c r="V219" i="2" s="1"/>
  <c r="U224" i="2"/>
  <c r="Y224" i="2" s="1"/>
  <c r="U227" i="2"/>
  <c r="V227" i="2" s="1"/>
  <c r="U236" i="2"/>
  <c r="Y236" i="2" s="1"/>
  <c r="P238" i="2"/>
  <c r="R238" i="2" s="1"/>
  <c r="U241" i="2"/>
  <c r="V241" i="2" s="1"/>
  <c r="U242" i="2"/>
  <c r="V242" i="2" s="1"/>
  <c r="U255" i="2"/>
  <c r="Y255" i="2" s="1"/>
  <c r="T281" i="2"/>
  <c r="U281" i="2" s="1"/>
  <c r="P313" i="2"/>
  <c r="P312" i="2" s="1"/>
  <c r="R312" i="2" s="1"/>
  <c r="O321" i="2"/>
  <c r="O320" i="2" s="1"/>
  <c r="U332" i="2"/>
  <c r="U126" i="2"/>
  <c r="O314" i="2"/>
  <c r="Q157" i="2"/>
  <c r="Q156" i="2" s="1"/>
  <c r="Q155" i="2" s="1"/>
  <c r="Q154" i="2" s="1"/>
  <c r="Q152" i="2" s="1"/>
  <c r="R158" i="2"/>
  <c r="Q147" i="2"/>
  <c r="Q146" i="2" s="1"/>
  <c r="Q145" i="2" s="1"/>
  <c r="Q144" i="2" s="1"/>
  <c r="R148" i="2"/>
  <c r="Q177" i="2"/>
  <c r="Q176" i="2" s="1"/>
  <c r="Y192" i="2"/>
  <c r="V202" i="2"/>
  <c r="P340" i="2"/>
  <c r="U64" i="2"/>
  <c r="X64" i="2" s="1"/>
  <c r="R99" i="2"/>
  <c r="U124" i="2"/>
  <c r="V124" i="2" s="1"/>
  <c r="Q133" i="2"/>
  <c r="Q132" i="2" s="1"/>
  <c r="Q131" i="2" s="1"/>
  <c r="Q130" i="2" s="1"/>
  <c r="U158" i="2"/>
  <c r="S177" i="2"/>
  <c r="X188" i="2"/>
  <c r="R196" i="2"/>
  <c r="U218" i="2"/>
  <c r="P224" i="2"/>
  <c r="R224" i="2" s="1"/>
  <c r="U225" i="2"/>
  <c r="Y225" i="2" s="1"/>
  <c r="U233" i="2"/>
  <c r="V233" i="2" s="1"/>
  <c r="U239" i="2"/>
  <c r="X239" i="2" s="1"/>
  <c r="P309" i="2"/>
  <c r="R309" i="2" s="1"/>
  <c r="W309" i="2" s="1"/>
  <c r="V326" i="2"/>
  <c r="V327" i="2"/>
  <c r="U331" i="2"/>
  <c r="Y331" i="2" s="1"/>
  <c r="U81" i="2"/>
  <c r="Y81" i="2" s="1"/>
  <c r="Y246" i="2"/>
  <c r="T305" i="2"/>
  <c r="T304" i="2" s="1"/>
  <c r="V307" i="2"/>
  <c r="Y128" i="2"/>
  <c r="T165" i="2"/>
  <c r="T161" i="2" s="1"/>
  <c r="U183" i="2"/>
  <c r="Y183" i="2" s="1"/>
  <c r="U313" i="2"/>
  <c r="Y313" i="2" s="1"/>
  <c r="U31" i="2"/>
  <c r="Y31" i="2" s="1"/>
  <c r="U58" i="2"/>
  <c r="Y58" i="2" s="1"/>
  <c r="T80" i="2"/>
  <c r="T79" i="2" s="1"/>
  <c r="T78" i="2" s="1"/>
  <c r="O98" i="2"/>
  <c r="O97" i="2" s="1"/>
  <c r="U99" i="2"/>
  <c r="Y99" i="2" s="1"/>
  <c r="T123" i="2"/>
  <c r="T122" i="2" s="1"/>
  <c r="U122" i="2" s="1"/>
  <c r="U125" i="2"/>
  <c r="Y125" i="2" s="1"/>
  <c r="T133" i="2"/>
  <c r="T132" i="2" s="1"/>
  <c r="X159" i="2"/>
  <c r="S157" i="2"/>
  <c r="S156" i="2" s="1"/>
  <c r="T162" i="2"/>
  <c r="U162" i="2" s="1"/>
  <c r="U170" i="2"/>
  <c r="Y170" i="2" s="1"/>
  <c r="T177" i="2"/>
  <c r="T176" i="2" s="1"/>
  <c r="R216" i="2"/>
  <c r="R223" i="2"/>
  <c r="V256" i="2"/>
  <c r="U259" i="2"/>
  <c r="Y259" i="2" s="1"/>
  <c r="S266" i="2"/>
  <c r="S265" i="2" s="1"/>
  <c r="U287" i="2"/>
  <c r="Y287" i="2" s="1"/>
  <c r="R182" i="2"/>
  <c r="U148" i="2"/>
  <c r="T157" i="2"/>
  <c r="T156" i="2" s="1"/>
  <c r="U100" i="2"/>
  <c r="V100" i="2" s="1"/>
  <c r="Y248" i="2"/>
  <c r="R300" i="2"/>
  <c r="U28" i="2"/>
  <c r="Y28" i="2" s="1"/>
  <c r="Q47" i="2"/>
  <c r="Q46" i="2" s="1"/>
  <c r="Q38" i="2" s="1"/>
  <c r="P86" i="2"/>
  <c r="P85" i="2" s="1"/>
  <c r="P84" i="2" s="1"/>
  <c r="P83" i="2" s="1"/>
  <c r="P82" i="2" s="1"/>
  <c r="P77" i="2" s="1"/>
  <c r="P75" i="2" s="1"/>
  <c r="X94" i="2"/>
  <c r="U127" i="2"/>
  <c r="Y127" i="2" s="1"/>
  <c r="U164" i="2"/>
  <c r="Y164" i="2" s="1"/>
  <c r="X194" i="2"/>
  <c r="T204" i="2"/>
  <c r="T203" i="2" s="1"/>
  <c r="R219" i="2"/>
  <c r="O222" i="2"/>
  <c r="O221" i="2" s="1"/>
  <c r="X247" i="2"/>
  <c r="O250" i="2"/>
  <c r="T266" i="2"/>
  <c r="T265" i="2" s="1"/>
  <c r="T264" i="2" s="1"/>
  <c r="T263" i="2" s="1"/>
  <c r="T261" i="2" s="1"/>
  <c r="U300" i="2"/>
  <c r="U302" i="2"/>
  <c r="Y302" i="2" s="1"/>
  <c r="S314" i="2"/>
  <c r="U314" i="2" s="1"/>
  <c r="Y314" i="2" s="1"/>
  <c r="V325" i="2"/>
  <c r="X327" i="2"/>
  <c r="S339" i="2"/>
  <c r="U339" i="2" s="1"/>
  <c r="Y339" i="2" s="1"/>
  <c r="U312" i="2"/>
  <c r="U55" i="2"/>
  <c r="Y55" i="2" s="1"/>
  <c r="Q88" i="2"/>
  <c r="Q191" i="2"/>
  <c r="Q190" i="2" s="1"/>
  <c r="U196" i="2"/>
  <c r="V196" i="2" s="1"/>
  <c r="Q222" i="2"/>
  <c r="Q221" i="2" s="1"/>
  <c r="O305" i="2"/>
  <c r="O304" i="2" s="1"/>
  <c r="Y25" i="2"/>
  <c r="Y102" i="2"/>
  <c r="S106" i="2"/>
  <c r="O111" i="2"/>
  <c r="Y112" i="2"/>
  <c r="Y194" i="2"/>
  <c r="U223" i="2"/>
  <c r="Y223" i="2" s="1"/>
  <c r="S232" i="2"/>
  <c r="S231" i="2" s="1"/>
  <c r="U240" i="2"/>
  <c r="X240" i="2" s="1"/>
  <c r="T244" i="2"/>
  <c r="R249" i="2"/>
  <c r="R244" i="2" s="1"/>
  <c r="X251" i="2"/>
  <c r="W325" i="2"/>
  <c r="T329" i="2"/>
  <c r="S80" i="2"/>
  <c r="S79" i="2" s="1"/>
  <c r="S78" i="2" s="1"/>
  <c r="U286" i="2"/>
  <c r="T311" i="2"/>
  <c r="W27" i="2"/>
  <c r="U24" i="2"/>
  <c r="Y24" i="2" s="1"/>
  <c r="W32" i="2"/>
  <c r="R81" i="2"/>
  <c r="R80" i="2" s="1"/>
  <c r="R100" i="2"/>
  <c r="T106" i="2"/>
  <c r="S132" i="2"/>
  <c r="U167" i="2"/>
  <c r="V167" i="2" s="1"/>
  <c r="Y197" i="2"/>
  <c r="S222" i="2"/>
  <c r="U222" i="2" s="1"/>
  <c r="R225" i="2"/>
  <c r="U237" i="2"/>
  <c r="Y237" i="2" s="1"/>
  <c r="X242" i="2"/>
  <c r="U249" i="2"/>
  <c r="Y249" i="2" s="1"/>
  <c r="V282" i="2"/>
  <c r="P315" i="2"/>
  <c r="Y330" i="2"/>
  <c r="T333" i="2"/>
  <c r="U333" i="2" s="1"/>
  <c r="X333" i="2" s="1"/>
  <c r="U337" i="2"/>
  <c r="Y337" i="2" s="1"/>
  <c r="P41" i="2"/>
  <c r="R42" i="2"/>
  <c r="W52" i="2"/>
  <c r="X52" i="2"/>
  <c r="T68" i="2"/>
  <c r="T67" i="2" s="1"/>
  <c r="T66" i="2" s="1"/>
  <c r="V35" i="2"/>
  <c r="Y35" i="2"/>
  <c r="V25" i="2"/>
  <c r="U36" i="2"/>
  <c r="T42" i="2"/>
  <c r="T41" i="2" s="1"/>
  <c r="T40" i="2" s="1"/>
  <c r="O23" i="2"/>
  <c r="P23" i="2"/>
  <c r="Y27" i="2"/>
  <c r="Y30" i="2"/>
  <c r="Y32" i="2"/>
  <c r="S34" i="2"/>
  <c r="U34" i="2" s="1"/>
  <c r="Y34" i="2" s="1"/>
  <c r="R43" i="2"/>
  <c r="Y52" i="2"/>
  <c r="U53" i="2"/>
  <c r="V53" i="2" s="1"/>
  <c r="T57" i="2"/>
  <c r="T56" i="2" s="1"/>
  <c r="U56" i="2" s="1"/>
  <c r="R58" i="2"/>
  <c r="S63" i="2"/>
  <c r="R70" i="2"/>
  <c r="P69" i="2"/>
  <c r="P68" i="2" s="1"/>
  <c r="P67" i="2" s="1"/>
  <c r="P66" i="2" s="1"/>
  <c r="V85" i="2"/>
  <c r="Q86" i="2"/>
  <c r="Q85" i="2" s="1"/>
  <c r="Q84" i="2" s="1"/>
  <c r="Q83" i="2" s="1"/>
  <c r="Q82" i="2" s="1"/>
  <c r="Q77" i="2" s="1"/>
  <c r="Q75" i="2" s="1"/>
  <c r="T85" i="2"/>
  <c r="T84" i="2" s="1"/>
  <c r="T83" i="2" s="1"/>
  <c r="T82" i="2" s="1"/>
  <c r="T77" i="2" s="1"/>
  <c r="T75" i="2" s="1"/>
  <c r="V94" i="2"/>
  <c r="O93" i="2"/>
  <c r="R132" i="2"/>
  <c r="X135" i="2"/>
  <c r="S41" i="2"/>
  <c r="O43" i="2"/>
  <c r="R50" i="2"/>
  <c r="P49" i="2"/>
  <c r="O62" i="2"/>
  <c r="U73" i="2"/>
  <c r="V73" i="2" s="1"/>
  <c r="S72" i="2"/>
  <c r="S71" i="2" s="1"/>
  <c r="S68" i="2" s="1"/>
  <c r="S67" i="2" s="1"/>
  <c r="S66" i="2" s="1"/>
  <c r="O83" i="2"/>
  <c r="Q36" i="2"/>
  <c r="Q35" i="2" s="1"/>
  <c r="Q34" i="2" s="1"/>
  <c r="Q22" i="2" s="1"/>
  <c r="Q21" i="2" s="1"/>
  <c r="Q19" i="2" s="1"/>
  <c r="P56" i="2"/>
  <c r="R56" i="2" s="1"/>
  <c r="R57" i="2"/>
  <c r="R63" i="2"/>
  <c r="P62" i="2"/>
  <c r="S23" i="2"/>
  <c r="P35" i="2"/>
  <c r="O49" i="2"/>
  <c r="T49" i="2"/>
  <c r="T48" i="2" s="1"/>
  <c r="O69" i="2"/>
  <c r="U70" i="2"/>
  <c r="V70" i="2" s="1"/>
  <c r="O72" i="2"/>
  <c r="U84" i="2"/>
  <c r="Y85" i="2"/>
  <c r="V86" i="2"/>
  <c r="S93" i="2"/>
  <c r="W103" i="2"/>
  <c r="P106" i="2"/>
  <c r="X114" i="2"/>
  <c r="O120" i="2"/>
  <c r="R123" i="2"/>
  <c r="P122" i="2"/>
  <c r="R122" i="2" s="1"/>
  <c r="O126" i="2"/>
  <c r="V128" i="2"/>
  <c r="V129" i="2"/>
  <c r="W134" i="2"/>
  <c r="Y134" i="2"/>
  <c r="U138" i="2"/>
  <c r="V138" i="2" s="1"/>
  <c r="X166" i="2"/>
  <c r="R169" i="2"/>
  <c r="P168" i="2"/>
  <c r="R168" i="2" s="1"/>
  <c r="Y100" i="2"/>
  <c r="W116" i="2"/>
  <c r="R127" i="2"/>
  <c r="P126" i="2"/>
  <c r="R126" i="2" s="1"/>
  <c r="X126" i="2" s="1"/>
  <c r="R133" i="2"/>
  <c r="T137" i="2"/>
  <c r="T136" i="2" s="1"/>
  <c r="U142" i="2"/>
  <c r="Y142" i="2" s="1"/>
  <c r="P156" i="2"/>
  <c r="U121" i="2"/>
  <c r="Y121" i="2" s="1"/>
  <c r="S120" i="2"/>
  <c r="O137" i="2"/>
  <c r="O136" i="2" s="1"/>
  <c r="O144" i="2"/>
  <c r="S85" i="2"/>
  <c r="S84" i="2" s="1"/>
  <c r="S83" i="2" s="1"/>
  <c r="S82" i="2" s="1"/>
  <c r="P92" i="2"/>
  <c r="P98" i="2"/>
  <c r="O106" i="2"/>
  <c r="U107" i="2"/>
  <c r="Y107" i="2" s="1"/>
  <c r="V109" i="2"/>
  <c r="U113" i="2"/>
  <c r="Y113" i="2" s="1"/>
  <c r="X116" i="2"/>
  <c r="R120" i="2"/>
  <c r="P119" i="2"/>
  <c r="O123" i="2"/>
  <c r="R124" i="2"/>
  <c r="V134" i="2"/>
  <c r="R137" i="2"/>
  <c r="P146" i="2"/>
  <c r="R162" i="2"/>
  <c r="P161" i="2"/>
  <c r="R161" i="2" s="1"/>
  <c r="V169" i="2"/>
  <c r="O133" i="2"/>
  <c r="S137" i="2"/>
  <c r="S136" i="2" s="1"/>
  <c r="S131" i="2" s="1"/>
  <c r="W149" i="2"/>
  <c r="U160" i="2"/>
  <c r="V160" i="2" s="1"/>
  <c r="P165" i="2"/>
  <c r="R165" i="2" s="1"/>
  <c r="O168" i="2"/>
  <c r="S168" i="2"/>
  <c r="U168" i="2" s="1"/>
  <c r="W171" i="2"/>
  <c r="S176" i="2"/>
  <c r="U186" i="2"/>
  <c r="Y186" i="2" s="1"/>
  <c r="V188" i="2"/>
  <c r="V189" i="2"/>
  <c r="T191" i="2"/>
  <c r="T190" i="2" s="1"/>
  <c r="U193" i="2"/>
  <c r="Y193" i="2" s="1"/>
  <c r="P193" i="2"/>
  <c r="R193" i="2" s="1"/>
  <c r="P200" i="2"/>
  <c r="P205" i="2"/>
  <c r="U205" i="2"/>
  <c r="Y205" i="2" s="1"/>
  <c r="S204" i="2"/>
  <c r="U220" i="2"/>
  <c r="Y220" i="2" s="1"/>
  <c r="V246" i="2"/>
  <c r="O157" i="2"/>
  <c r="R184" i="2"/>
  <c r="R192" i="2"/>
  <c r="O200" i="2"/>
  <c r="O214" i="2"/>
  <c r="U217" i="2"/>
  <c r="P217" i="2"/>
  <c r="R217" i="2" s="1"/>
  <c r="R218" i="2"/>
  <c r="Q220" i="2"/>
  <c r="Q214" i="2" s="1"/>
  <c r="Q213" i="2" s="1"/>
  <c r="T214" i="2"/>
  <c r="T213" i="2" s="1"/>
  <c r="T212" i="2" s="1"/>
  <c r="T211" i="2" s="1"/>
  <c r="X246" i="2"/>
  <c r="U187" i="2"/>
  <c r="P187" i="2"/>
  <c r="R187" i="2" s="1"/>
  <c r="P215" i="2"/>
  <c r="U215" i="2"/>
  <c r="Y215" i="2" s="1"/>
  <c r="S214" i="2"/>
  <c r="R233" i="2"/>
  <c r="P232" i="2"/>
  <c r="P231" i="2" s="1"/>
  <c r="X238" i="2"/>
  <c r="W238" i="2"/>
  <c r="S146" i="2"/>
  <c r="S165" i="2"/>
  <c r="O191" i="2"/>
  <c r="X202" i="2"/>
  <c r="O204" i="2"/>
  <c r="V239" i="2"/>
  <c r="U234" i="2"/>
  <c r="P244" i="2"/>
  <c r="P243" i="2" s="1"/>
  <c r="T250" i="2"/>
  <c r="Y252" i="2"/>
  <c r="P254" i="2"/>
  <c r="W260" i="2"/>
  <c r="P266" i="2"/>
  <c r="U272" i="2"/>
  <c r="V272" i="2" s="1"/>
  <c r="S271" i="2"/>
  <c r="R287" i="2"/>
  <c r="P286" i="2"/>
  <c r="V299" i="2"/>
  <c r="Y299" i="2"/>
  <c r="Y247" i="2"/>
  <c r="U268" i="2"/>
  <c r="X268" i="2" s="1"/>
  <c r="R271" i="2"/>
  <c r="P270" i="2"/>
  <c r="R270" i="2" s="1"/>
  <c r="T285" i="2"/>
  <c r="U285" i="2" s="1"/>
  <c r="R269" i="2"/>
  <c r="O271" i="2"/>
  <c r="O232" i="2"/>
  <c r="O231" i="2" s="1"/>
  <c r="O244" i="2"/>
  <c r="O243" i="2" s="1"/>
  <c r="S244" i="2"/>
  <c r="S243" i="2" s="1"/>
  <c r="O254" i="2"/>
  <c r="U258" i="2"/>
  <c r="S257" i="2"/>
  <c r="U257" i="2" s="1"/>
  <c r="X257" i="2" s="1"/>
  <c r="Y269" i="2"/>
  <c r="O296" i="2"/>
  <c r="T296" i="2"/>
  <c r="T295" i="2" s="1"/>
  <c r="Q299" i="2"/>
  <c r="Q296" i="2" s="1"/>
  <c r="Q295" i="2" s="1"/>
  <c r="U301" i="2"/>
  <c r="Y301" i="2" s="1"/>
  <c r="P301" i="2"/>
  <c r="U303" i="2"/>
  <c r="X303" i="2" s="1"/>
  <c r="Y308" i="2"/>
  <c r="Q305" i="2"/>
  <c r="Q304" i="2" s="1"/>
  <c r="Q319" i="2"/>
  <c r="Q318" i="2" s="1"/>
  <c r="Y332" i="2"/>
  <c r="V332" i="2"/>
  <c r="U310" i="2"/>
  <c r="Y310" i="2" s="1"/>
  <c r="P310" i="2"/>
  <c r="U311" i="2"/>
  <c r="Y334" i="2"/>
  <c r="X334" i="2"/>
  <c r="Y340" i="2"/>
  <c r="V340" i="2"/>
  <c r="S280" i="2"/>
  <c r="O286" i="2"/>
  <c r="S296" i="2"/>
  <c r="U306" i="2"/>
  <c r="S305" i="2"/>
  <c r="Y324" i="2"/>
  <c r="V324" i="2"/>
  <c r="Y325" i="2"/>
  <c r="X325" i="2"/>
  <c r="X307" i="2"/>
  <c r="S321" i="2"/>
  <c r="S336" i="2"/>
  <c r="V339" i="2"/>
  <c r="O312" i="2"/>
  <c r="P314" i="2"/>
  <c r="R314" i="2" s="1"/>
  <c r="O329" i="2"/>
  <c r="S329" i="2"/>
  <c r="R330" i="2"/>
  <c r="X330" i="2" s="1"/>
  <c r="P331" i="2"/>
  <c r="R331" i="2" s="1"/>
  <c r="O335" i="2"/>
  <c r="P324" i="2"/>
  <c r="P332" i="2"/>
  <c r="R332" i="2" s="1"/>
  <c r="X332" i="2" s="1"/>
  <c r="P337" i="2"/>
  <c r="W216" i="2" l="1"/>
  <c r="X164" i="2"/>
  <c r="X44" i="2"/>
  <c r="Y315" i="2"/>
  <c r="R147" i="2"/>
  <c r="X178" i="2"/>
  <c r="V268" i="2"/>
  <c r="Y141" i="2"/>
  <c r="Y178" i="2"/>
  <c r="U111" i="2"/>
  <c r="Y111" i="2" s="1"/>
  <c r="V298" i="2"/>
  <c r="X216" i="2"/>
  <c r="V222" i="2"/>
  <c r="U254" i="2"/>
  <c r="Y254" i="2" s="1"/>
  <c r="U200" i="2"/>
  <c r="V216" i="2"/>
  <c r="X227" i="2"/>
  <c r="Y182" i="2"/>
  <c r="X298" i="2"/>
  <c r="X267" i="2"/>
  <c r="V181" i="2"/>
  <c r="X181" i="2"/>
  <c r="X50" i="2"/>
  <c r="T105" i="2"/>
  <c r="T104" i="2" s="1"/>
  <c r="T88" i="2" s="1"/>
  <c r="X179" i="2"/>
  <c r="Q115" i="2"/>
  <c r="Q17" i="2" s="1"/>
  <c r="R313" i="2"/>
  <c r="Y196" i="2"/>
  <c r="X235" i="2"/>
  <c r="X269" i="2"/>
  <c r="R220" i="2"/>
  <c r="X220" i="2" s="1"/>
  <c r="V108" i="2"/>
  <c r="Y245" i="2"/>
  <c r="X256" i="2"/>
  <c r="V235" i="2"/>
  <c r="T131" i="2"/>
  <c r="T130" i="2" s="1"/>
  <c r="V51" i="2"/>
  <c r="W26" i="2"/>
  <c r="V193" i="2"/>
  <c r="V26" i="2"/>
  <c r="V316" i="2"/>
  <c r="W30" i="2"/>
  <c r="T155" i="2"/>
  <c r="T154" i="2" s="1"/>
  <c r="T152" i="2" s="1"/>
  <c r="Y51" i="2"/>
  <c r="X125" i="2"/>
  <c r="X224" i="2"/>
  <c r="V142" i="2"/>
  <c r="V137" i="2" s="1"/>
  <c r="V136" i="2" s="1"/>
  <c r="W164" i="2"/>
  <c r="Y108" i="2"/>
  <c r="P311" i="2"/>
  <c r="R311" i="2" s="1"/>
  <c r="X311" i="2" s="1"/>
  <c r="Y281" i="2"/>
  <c r="V281" i="2"/>
  <c r="W303" i="2"/>
  <c r="W267" i="2"/>
  <c r="Y43" i="2"/>
  <c r="V54" i="2"/>
  <c r="X300" i="2"/>
  <c r="V141" i="2"/>
  <c r="V33" i="2"/>
  <c r="X312" i="2"/>
  <c r="Y241" i="2"/>
  <c r="U165" i="2"/>
  <c r="Y233" i="2"/>
  <c r="P191" i="2"/>
  <c r="P190" i="2" s="1"/>
  <c r="R190" i="2" s="1"/>
  <c r="V166" i="2"/>
  <c r="V140" i="2"/>
  <c r="V55" i="2"/>
  <c r="X192" i="2"/>
  <c r="Y140" i="2"/>
  <c r="X43" i="2"/>
  <c r="V267" i="2"/>
  <c r="W33" i="2"/>
  <c r="X182" i="2"/>
  <c r="X201" i="2"/>
  <c r="X241" i="2"/>
  <c r="V179" i="2"/>
  <c r="V201" i="2"/>
  <c r="X281" i="2"/>
  <c r="Y286" i="2"/>
  <c r="U244" i="2"/>
  <c r="X244" i="2" s="1"/>
  <c r="V303" i="2"/>
  <c r="V126" i="2"/>
  <c r="V284" i="2"/>
  <c r="Y56" i="2"/>
  <c r="V56" i="2"/>
  <c r="V28" i="2"/>
  <c r="V255" i="2"/>
  <c r="X284" i="2"/>
  <c r="S338" i="2"/>
  <c r="U338" i="2" s="1"/>
  <c r="Y338" i="2" s="1"/>
  <c r="X309" i="2"/>
  <c r="V331" i="2"/>
  <c r="Y238" i="2"/>
  <c r="V236" i="2"/>
  <c r="Y165" i="2"/>
  <c r="W239" i="2"/>
  <c r="Q212" i="2"/>
  <c r="Q211" i="2" s="1"/>
  <c r="Q209" i="2" s="1"/>
  <c r="Q207" i="2" s="1"/>
  <c r="U266" i="2"/>
  <c r="Y266" i="2" s="1"/>
  <c r="X236" i="2"/>
  <c r="X139" i="2"/>
  <c r="S77" i="2"/>
  <c r="S75" i="2" s="1"/>
  <c r="V139" i="2"/>
  <c r="X110" i="2"/>
  <c r="X169" i="2"/>
  <c r="U157" i="2"/>
  <c r="Y157" i="2" s="1"/>
  <c r="Y124" i="2"/>
  <c r="U98" i="2"/>
  <c r="Y98" i="2" s="1"/>
  <c r="U57" i="2"/>
  <c r="Y57" i="2" s="1"/>
  <c r="X81" i="2"/>
  <c r="U97" i="2"/>
  <c r="W135" i="2"/>
  <c r="V101" i="2"/>
  <c r="V29" i="2"/>
  <c r="Y159" i="2"/>
  <c r="X109" i="2"/>
  <c r="X189" i="2"/>
  <c r="X101" i="2"/>
  <c r="X185" i="2"/>
  <c r="Y135" i="2"/>
  <c r="V112" i="2"/>
  <c r="V185" i="2"/>
  <c r="V58" i="2"/>
  <c r="U96" i="2"/>
  <c r="AC95" i="1" s="1"/>
  <c r="AM95" i="1" s="1"/>
  <c r="V50" i="2"/>
  <c r="R315" i="2"/>
  <c r="Y219" i="2"/>
  <c r="Y163" i="2"/>
  <c r="Y110" i="2"/>
  <c r="V163" i="2"/>
  <c r="Y44" i="2"/>
  <c r="X331" i="2"/>
  <c r="X302" i="2"/>
  <c r="V302" i="2"/>
  <c r="S221" i="2"/>
  <c r="U221" i="2" s="1"/>
  <c r="Y221" i="2" s="1"/>
  <c r="V184" i="2"/>
  <c r="Y168" i="2"/>
  <c r="W138" i="2"/>
  <c r="U147" i="2"/>
  <c r="Y147" i="2" s="1"/>
  <c r="T47" i="2"/>
  <c r="T46" i="2" s="1"/>
  <c r="T38" i="2" s="1"/>
  <c r="Y29" i="2"/>
  <c r="X180" i="2"/>
  <c r="W31" i="2"/>
  <c r="V180" i="2"/>
  <c r="S105" i="2"/>
  <c r="X255" i="2"/>
  <c r="X219" i="2"/>
  <c r="Y162" i="2"/>
  <c r="V162" i="2"/>
  <c r="W300" i="2"/>
  <c r="V195" i="2"/>
  <c r="V34" i="2"/>
  <c r="U132" i="2"/>
  <c r="W132" i="2" s="1"/>
  <c r="X259" i="2"/>
  <c r="V314" i="2"/>
  <c r="R316" i="2"/>
  <c r="X187" i="2"/>
  <c r="X193" i="2"/>
  <c r="T118" i="2"/>
  <c r="T117" i="2" s="1"/>
  <c r="T115" i="2" s="1"/>
  <c r="X196" i="2"/>
  <c r="V224" i="2"/>
  <c r="U191" i="2"/>
  <c r="Y191" i="2" s="1"/>
  <c r="X111" i="2"/>
  <c r="X158" i="2"/>
  <c r="X195" i="2"/>
  <c r="W24" i="2"/>
  <c r="Y158" i="2"/>
  <c r="V158" i="2"/>
  <c r="U133" i="2"/>
  <c r="W133" i="2" s="1"/>
  <c r="P222" i="2"/>
  <c r="U80" i="2"/>
  <c r="V81" i="2"/>
  <c r="V287" i="2"/>
  <c r="S161" i="2"/>
  <c r="U161" i="2" s="1"/>
  <c r="Y161" i="2" s="1"/>
  <c r="W182" i="2"/>
  <c r="V127" i="2"/>
  <c r="U106" i="2"/>
  <c r="Y106" i="2" s="1"/>
  <c r="V337" i="2"/>
  <c r="Y167" i="2"/>
  <c r="X127" i="2"/>
  <c r="Y222" i="2"/>
  <c r="V300" i="2"/>
  <c r="Y300" i="2"/>
  <c r="V99" i="2"/>
  <c r="V218" i="2"/>
  <c r="Y218" i="2"/>
  <c r="P339" i="2"/>
  <c r="R340" i="2"/>
  <c r="X340" i="2" s="1"/>
  <c r="Y333" i="2"/>
  <c r="V240" i="2"/>
  <c r="R157" i="2"/>
  <c r="X313" i="2"/>
  <c r="V237" i="2"/>
  <c r="Y240" i="2"/>
  <c r="X217" i="2"/>
  <c r="V186" i="2"/>
  <c r="V165" i="2"/>
  <c r="U123" i="2"/>
  <c r="Y123" i="2" s="1"/>
  <c r="X142" i="2"/>
  <c r="X55" i="2"/>
  <c r="V24" i="2"/>
  <c r="V313" i="2"/>
  <c r="X100" i="2"/>
  <c r="X249" i="2"/>
  <c r="U177" i="2"/>
  <c r="X148" i="2"/>
  <c r="T280" i="2"/>
  <c r="T279" i="2" s="1"/>
  <c r="T278" i="2" s="1"/>
  <c r="T276" i="2" s="1"/>
  <c r="T274" i="2" s="1"/>
  <c r="Q175" i="2"/>
  <c r="Q174" i="2" s="1"/>
  <c r="Q172" i="2" s="1"/>
  <c r="Q150" i="2" s="1"/>
  <c r="W28" i="2"/>
  <c r="X167" i="2"/>
  <c r="R299" i="2"/>
  <c r="W299" i="2" s="1"/>
  <c r="X287" i="2"/>
  <c r="X237" i="2"/>
  <c r="T175" i="2"/>
  <c r="T174" i="2" s="1"/>
  <c r="T172" i="2" s="1"/>
  <c r="T150" i="2" s="1"/>
  <c r="V147" i="2"/>
  <c r="X122" i="2"/>
  <c r="R36" i="2"/>
  <c r="W36" i="2" s="1"/>
  <c r="Y148" i="2"/>
  <c r="V148" i="2"/>
  <c r="X223" i="2"/>
  <c r="X170" i="2"/>
  <c r="Y64" i="2"/>
  <c r="V64" i="2"/>
  <c r="V223" i="2"/>
  <c r="V259" i="2"/>
  <c r="V170" i="2"/>
  <c r="T328" i="2"/>
  <c r="T319" i="2" s="1"/>
  <c r="T318" i="2" s="1"/>
  <c r="V125" i="2"/>
  <c r="T294" i="2"/>
  <c r="T293" i="2" s="1"/>
  <c r="T291" i="2" s="1"/>
  <c r="T289" i="2" s="1"/>
  <c r="X162" i="2"/>
  <c r="V249" i="2"/>
  <c r="V244" i="2" s="1"/>
  <c r="V243" i="2" s="1"/>
  <c r="V164" i="2"/>
  <c r="V31" i="2"/>
  <c r="X183" i="2"/>
  <c r="V183" i="2"/>
  <c r="S130" i="2"/>
  <c r="U130" i="2" s="1"/>
  <c r="AC100" i="1" s="1"/>
  <c r="AM100" i="1" s="1"/>
  <c r="U131" i="2"/>
  <c r="P321" i="2"/>
  <c r="R324" i="2"/>
  <c r="X324" i="2" s="1"/>
  <c r="U336" i="2"/>
  <c r="S335" i="2"/>
  <c r="U335" i="2" s="1"/>
  <c r="Y335" i="2" s="1"/>
  <c r="R200" i="2"/>
  <c r="X200" i="2" s="1"/>
  <c r="P199" i="2"/>
  <c r="R199" i="2" s="1"/>
  <c r="X199" i="2" s="1"/>
  <c r="V312" i="2"/>
  <c r="O311" i="2"/>
  <c r="V311" i="2" s="1"/>
  <c r="R310" i="2"/>
  <c r="P305" i="2"/>
  <c r="O270" i="2"/>
  <c r="P336" i="2"/>
  <c r="R337" i="2"/>
  <c r="X337" i="2" s="1"/>
  <c r="U296" i="2"/>
  <c r="V296" i="2" s="1"/>
  <c r="V295" i="2" s="1"/>
  <c r="S295" i="2"/>
  <c r="Q294" i="2"/>
  <c r="Q293" i="2" s="1"/>
  <c r="Q291" i="2" s="1"/>
  <c r="Q289" i="2" s="1"/>
  <c r="V301" i="2"/>
  <c r="Y258" i="2"/>
  <c r="V258" i="2"/>
  <c r="Y272" i="2"/>
  <c r="X272" i="2"/>
  <c r="U146" i="2"/>
  <c r="S145" i="2"/>
  <c r="X314" i="2"/>
  <c r="W314" i="2"/>
  <c r="V338" i="2"/>
  <c r="Y306" i="2"/>
  <c r="V306" i="2"/>
  <c r="X306" i="2"/>
  <c r="O285" i="2"/>
  <c r="Y285" i="2" s="1"/>
  <c r="V286" i="2"/>
  <c r="P329" i="2"/>
  <c r="V310" i="2"/>
  <c r="V254" i="2"/>
  <c r="O253" i="2"/>
  <c r="O230" i="2" s="1"/>
  <c r="R266" i="2"/>
  <c r="X266" i="2" s="1"/>
  <c r="P265" i="2"/>
  <c r="W250" i="2"/>
  <c r="U250" i="2"/>
  <c r="V205" i="2"/>
  <c r="O190" i="2"/>
  <c r="T243" i="2"/>
  <c r="T230" i="2" s="1"/>
  <c r="T229" i="2" s="1"/>
  <c r="T209" i="2" s="1"/>
  <c r="T207" i="2" s="1"/>
  <c r="V220" i="2"/>
  <c r="Y187" i="2"/>
  <c r="V187" i="2"/>
  <c r="X218" i="2"/>
  <c r="W218" i="2"/>
  <c r="V215" i="2"/>
  <c r="U190" i="2"/>
  <c r="O156" i="2"/>
  <c r="R205" i="2"/>
  <c r="X205" i="2" s="1"/>
  <c r="P204" i="2"/>
  <c r="X165" i="2"/>
  <c r="P177" i="2"/>
  <c r="W124" i="2"/>
  <c r="X124" i="2"/>
  <c r="P97" i="2"/>
  <c r="R98" i="2"/>
  <c r="U120" i="2"/>
  <c r="Y120" i="2" s="1"/>
  <c r="S119" i="2"/>
  <c r="X186" i="2"/>
  <c r="R156" i="2"/>
  <c r="P155" i="2"/>
  <c r="X113" i="2"/>
  <c r="U69" i="2"/>
  <c r="V69" i="2" s="1"/>
  <c r="Y70" i="2"/>
  <c r="R35" i="2"/>
  <c r="W35" i="2" s="1"/>
  <c r="P34" i="2"/>
  <c r="R34" i="2" s="1"/>
  <c r="W34" i="2" s="1"/>
  <c r="X57" i="2"/>
  <c r="Y97" i="2"/>
  <c r="X73" i="2"/>
  <c r="U72" i="2"/>
  <c r="Y73" i="2"/>
  <c r="S47" i="2"/>
  <c r="U48" i="2"/>
  <c r="U42" i="2"/>
  <c r="P130" i="2"/>
  <c r="R130" i="2" s="1"/>
  <c r="R131" i="2"/>
  <c r="O22" i="2"/>
  <c r="U329" i="2"/>
  <c r="Y329" i="2" s="1"/>
  <c r="S328" i="2"/>
  <c r="U328" i="2" s="1"/>
  <c r="R301" i="2"/>
  <c r="P296" i="2"/>
  <c r="P285" i="2"/>
  <c r="R286" i="2"/>
  <c r="X286" i="2" s="1"/>
  <c r="O199" i="2"/>
  <c r="V200" i="2"/>
  <c r="P145" i="2"/>
  <c r="R146" i="2"/>
  <c r="O122" i="2"/>
  <c r="R92" i="2"/>
  <c r="P91" i="2"/>
  <c r="V97" i="2"/>
  <c r="O96" i="2"/>
  <c r="V96" i="2" s="1"/>
  <c r="O119" i="2"/>
  <c r="U83" i="2"/>
  <c r="V83" i="2" s="1"/>
  <c r="Y84" i="2"/>
  <c r="U23" i="2"/>
  <c r="Y23" i="2" s="1"/>
  <c r="S22" i="2"/>
  <c r="X56" i="2"/>
  <c r="W56" i="2"/>
  <c r="X121" i="2"/>
  <c r="P48" i="2"/>
  <c r="R49" i="2"/>
  <c r="V43" i="2"/>
  <c r="O42" i="2"/>
  <c r="X70" i="2"/>
  <c r="R69" i="2"/>
  <c r="S279" i="2"/>
  <c r="O295" i="2"/>
  <c r="U265" i="2"/>
  <c r="U321" i="2"/>
  <c r="S320" i="2"/>
  <c r="Y312" i="2"/>
  <c r="S270" i="2"/>
  <c r="U270" i="2" s="1"/>
  <c r="X270" i="2" s="1"/>
  <c r="U271" i="2"/>
  <c r="Y271" i="2" s="1"/>
  <c r="R254" i="2"/>
  <c r="X254" i="2" s="1"/>
  <c r="P253" i="2"/>
  <c r="R253" i="2" s="1"/>
  <c r="X253" i="2" s="1"/>
  <c r="Y234" i="2"/>
  <c r="X234" i="2"/>
  <c r="S230" i="2"/>
  <c r="S229" i="2" s="1"/>
  <c r="Y217" i="2"/>
  <c r="V217" i="2"/>
  <c r="U204" i="2"/>
  <c r="Y204" i="2" s="1"/>
  <c r="S203" i="2"/>
  <c r="U203" i="2" s="1"/>
  <c r="Y200" i="2"/>
  <c r="U176" i="2"/>
  <c r="Y176" i="2" s="1"/>
  <c r="V168" i="2"/>
  <c r="X147" i="2"/>
  <c r="R136" i="2"/>
  <c r="R119" i="2"/>
  <c r="P118" i="2"/>
  <c r="V113" i="2"/>
  <c r="O105" i="2"/>
  <c r="X168" i="2"/>
  <c r="U156" i="2"/>
  <c r="V121" i="2"/>
  <c r="U93" i="2"/>
  <c r="V93" i="2" s="1"/>
  <c r="S92" i="2"/>
  <c r="O71" i="2"/>
  <c r="O68" i="2" s="1"/>
  <c r="V111" i="2"/>
  <c r="R86" i="2"/>
  <c r="R62" i="2"/>
  <c r="P61" i="2"/>
  <c r="X107" i="2"/>
  <c r="V84" i="2"/>
  <c r="O61" i="2"/>
  <c r="O92" i="2"/>
  <c r="U63" i="2"/>
  <c r="X63" i="2" s="1"/>
  <c r="S62" i="2"/>
  <c r="Y53" i="2"/>
  <c r="X53" i="2"/>
  <c r="W53" i="2"/>
  <c r="X233" i="2"/>
  <c r="R232" i="2"/>
  <c r="R215" i="2"/>
  <c r="X215" i="2" s="1"/>
  <c r="P214" i="2"/>
  <c r="O328" i="2"/>
  <c r="Y257" i="2"/>
  <c r="V257" i="2"/>
  <c r="U305" i="2"/>
  <c r="S304" i="2"/>
  <c r="U304" i="2" s="1"/>
  <c r="Y304" i="2" s="1"/>
  <c r="Y268" i="2"/>
  <c r="W268" i="2"/>
  <c r="O203" i="2"/>
  <c r="V234" i="2"/>
  <c r="S213" i="2"/>
  <c r="U214" i="2"/>
  <c r="Y214" i="2" s="1"/>
  <c r="U232" i="2"/>
  <c r="O213" i="2"/>
  <c r="X184" i="2"/>
  <c r="W184" i="2"/>
  <c r="X258" i="2"/>
  <c r="R243" i="2"/>
  <c r="Y160" i="2"/>
  <c r="X160" i="2"/>
  <c r="O132" i="2"/>
  <c r="V107" i="2"/>
  <c r="Y126" i="2"/>
  <c r="V221" i="2"/>
  <c r="Y138" i="2"/>
  <c r="X138" i="2"/>
  <c r="U137" i="2"/>
  <c r="R106" i="2"/>
  <c r="P105" i="2"/>
  <c r="O48" i="2"/>
  <c r="X80" i="2"/>
  <c r="R79" i="2"/>
  <c r="O82" i="2"/>
  <c r="U49" i="2"/>
  <c r="Y49" i="2" s="1"/>
  <c r="U41" i="2"/>
  <c r="S40" i="2"/>
  <c r="W58" i="2"/>
  <c r="X58" i="2"/>
  <c r="R23" i="2"/>
  <c r="P22" i="2"/>
  <c r="V36" i="2"/>
  <c r="Y36" i="2"/>
  <c r="P40" i="2"/>
  <c r="R41" i="2"/>
  <c r="V191" i="2" l="1"/>
  <c r="V123" i="2"/>
  <c r="U105" i="2"/>
  <c r="Y133" i="2"/>
  <c r="R191" i="2"/>
  <c r="X191" i="2" s="1"/>
  <c r="Y132" i="2"/>
  <c r="V133" i="2"/>
  <c r="V329" i="2"/>
  <c r="Y156" i="2"/>
  <c r="V328" i="2"/>
  <c r="V98" i="2"/>
  <c r="X157" i="2"/>
  <c r="Y42" i="2"/>
  <c r="P230" i="2"/>
  <c r="P229" i="2" s="1"/>
  <c r="V157" i="2"/>
  <c r="V266" i="2"/>
  <c r="S155" i="2"/>
  <c r="O294" i="2"/>
  <c r="O293" i="2" s="1"/>
  <c r="X161" i="2"/>
  <c r="V161" i="2"/>
  <c r="Y244" i="2"/>
  <c r="X271" i="2"/>
  <c r="X132" i="2"/>
  <c r="W23" i="2"/>
  <c r="Y105" i="2"/>
  <c r="Y311" i="2"/>
  <c r="X123" i="2"/>
  <c r="S104" i="2"/>
  <c r="U104" i="2" s="1"/>
  <c r="AC96" i="1" s="1"/>
  <c r="AM96" i="1" s="1"/>
  <c r="V57" i="2"/>
  <c r="X130" i="2"/>
  <c r="W57" i="2"/>
  <c r="X315" i="2"/>
  <c r="W315" i="2"/>
  <c r="X299" i="2"/>
  <c r="X41" i="2"/>
  <c r="Y96" i="2"/>
  <c r="V176" i="2"/>
  <c r="Y270" i="2"/>
  <c r="Y190" i="2"/>
  <c r="W316" i="2"/>
  <c r="X316" i="2"/>
  <c r="V335" i="2"/>
  <c r="X133" i="2"/>
  <c r="X120" i="2"/>
  <c r="T17" i="2"/>
  <c r="X131" i="2"/>
  <c r="R222" i="2"/>
  <c r="X222" i="2" s="1"/>
  <c r="P221" i="2"/>
  <c r="R221" i="2" s="1"/>
  <c r="X221" i="2" s="1"/>
  <c r="V204" i="2"/>
  <c r="R339" i="2"/>
  <c r="X339" i="2" s="1"/>
  <c r="P338" i="2"/>
  <c r="R338" i="2" s="1"/>
  <c r="X338" i="2" s="1"/>
  <c r="Q15" i="2"/>
  <c r="Y80" i="2"/>
  <c r="U79" i="2"/>
  <c r="X79" i="2" s="1"/>
  <c r="V80" i="2"/>
  <c r="V120" i="2"/>
  <c r="X146" i="2"/>
  <c r="X190" i="2"/>
  <c r="Y177" i="2"/>
  <c r="V177" i="2"/>
  <c r="T15" i="2"/>
  <c r="X106" i="2"/>
  <c r="V232" i="2"/>
  <c r="V231" i="2" s="1"/>
  <c r="V106" i="2"/>
  <c r="V203" i="2"/>
  <c r="S175" i="2"/>
  <c r="S174" i="2" s="1"/>
  <c r="U280" i="2"/>
  <c r="O175" i="2"/>
  <c r="O174" i="2" s="1"/>
  <c r="V23" i="2"/>
  <c r="U40" i="2"/>
  <c r="AC80" i="1" s="1"/>
  <c r="AM80" i="1" s="1"/>
  <c r="V49" i="2"/>
  <c r="Y137" i="2"/>
  <c r="U136" i="2"/>
  <c r="Y136" i="2" s="1"/>
  <c r="O212" i="2"/>
  <c r="U213" i="2"/>
  <c r="Y213" i="2" s="1"/>
  <c r="S212" i="2"/>
  <c r="R78" i="2"/>
  <c r="V48" i="2"/>
  <c r="O47" i="2"/>
  <c r="O131" i="2"/>
  <c r="Y131" i="2" s="1"/>
  <c r="V132" i="2"/>
  <c r="V214" i="2"/>
  <c r="X232" i="2"/>
  <c r="R231" i="2"/>
  <c r="X86" i="2"/>
  <c r="R85" i="2"/>
  <c r="U92" i="2"/>
  <c r="Y92" i="2" s="1"/>
  <c r="S91" i="2"/>
  <c r="U155" i="2"/>
  <c r="S154" i="2"/>
  <c r="O104" i="2"/>
  <c r="V105" i="2"/>
  <c r="S264" i="2"/>
  <c r="S263" i="2" s="1"/>
  <c r="S261" i="2" s="1"/>
  <c r="U261" i="2" s="1"/>
  <c r="X49" i="2"/>
  <c r="U82" i="2"/>
  <c r="V82" i="2" s="1"/>
  <c r="Y83" i="2"/>
  <c r="P295" i="2"/>
  <c r="R296" i="2"/>
  <c r="R177" i="2"/>
  <c r="X177" i="2" s="1"/>
  <c r="P176" i="2"/>
  <c r="V190" i="2"/>
  <c r="R265" i="2"/>
  <c r="P264" i="2"/>
  <c r="P263" i="2" s="1"/>
  <c r="P261" i="2" s="1"/>
  <c r="R261" i="2" s="1"/>
  <c r="V304" i="2"/>
  <c r="V294" i="2" s="1"/>
  <c r="V293" i="2" s="1"/>
  <c r="V271" i="2"/>
  <c r="U243" i="2"/>
  <c r="Y243" i="2" s="1"/>
  <c r="R321" i="2"/>
  <c r="X321" i="2" s="1"/>
  <c r="P320" i="2"/>
  <c r="U231" i="2"/>
  <c r="Y232" i="2"/>
  <c r="Y93" i="2"/>
  <c r="X93" i="2"/>
  <c r="X136" i="2"/>
  <c r="U320" i="2"/>
  <c r="S319" i="2"/>
  <c r="X69" i="2"/>
  <c r="R68" i="2"/>
  <c r="R48" i="2"/>
  <c r="X48" i="2" s="1"/>
  <c r="P47" i="2"/>
  <c r="O67" i="2"/>
  <c r="O118" i="2"/>
  <c r="V122" i="2"/>
  <c r="Y122" i="2"/>
  <c r="V199" i="2"/>
  <c r="Y199" i="2"/>
  <c r="X301" i="2"/>
  <c r="W301" i="2"/>
  <c r="U71" i="2"/>
  <c r="Y72" i="2"/>
  <c r="X72" i="2"/>
  <c r="U119" i="2"/>
  <c r="Y119" i="2" s="1"/>
  <c r="S118" i="2"/>
  <c r="P96" i="2"/>
  <c r="R96" i="2" s="1"/>
  <c r="R97" i="2"/>
  <c r="O155" i="2"/>
  <c r="V156" i="2"/>
  <c r="U145" i="2"/>
  <c r="S144" i="2"/>
  <c r="U144" i="2" s="1"/>
  <c r="AC101" i="1" s="1"/>
  <c r="AM101" i="1" s="1"/>
  <c r="S294" i="2"/>
  <c r="S293" i="2" s="1"/>
  <c r="R305" i="2"/>
  <c r="X305" i="2" s="1"/>
  <c r="P304" i="2"/>
  <c r="R304" i="2" s="1"/>
  <c r="X304" i="2" s="1"/>
  <c r="O77" i="2"/>
  <c r="O75" i="2" s="1"/>
  <c r="U62" i="2"/>
  <c r="X62" i="2" s="1"/>
  <c r="S61" i="2"/>
  <c r="R40" i="2"/>
  <c r="O229" i="2"/>
  <c r="O228" i="2"/>
  <c r="Y305" i="2"/>
  <c r="V305" i="2"/>
  <c r="R214" i="2"/>
  <c r="X214" i="2" s="1"/>
  <c r="P213" i="2"/>
  <c r="Y63" i="2"/>
  <c r="V63" i="2"/>
  <c r="O60" i="2"/>
  <c r="R61" i="2"/>
  <c r="P60" i="2"/>
  <c r="R60" i="2" s="1"/>
  <c r="X137" i="2"/>
  <c r="Y203" i="2"/>
  <c r="Y321" i="2"/>
  <c r="V321" i="2"/>
  <c r="O41" i="2"/>
  <c r="V42" i="2"/>
  <c r="R91" i="2"/>
  <c r="P90" i="2"/>
  <c r="O21" i="2"/>
  <c r="Y48" i="2"/>
  <c r="U68" i="2"/>
  <c r="V68" i="2" s="1"/>
  <c r="Y69" i="2"/>
  <c r="R155" i="2"/>
  <c r="X155" i="2" s="1"/>
  <c r="P154" i="2"/>
  <c r="R204" i="2"/>
  <c r="X204" i="2" s="1"/>
  <c r="P203" i="2"/>
  <c r="R203" i="2" s="1"/>
  <c r="X203" i="2" s="1"/>
  <c r="Y250" i="2"/>
  <c r="X250" i="2"/>
  <c r="V285" i="2"/>
  <c r="O280" i="2"/>
  <c r="Y146" i="2"/>
  <c r="V146" i="2"/>
  <c r="Y296" i="2"/>
  <c r="U295" i="2"/>
  <c r="R336" i="2"/>
  <c r="X336" i="2" s="1"/>
  <c r="P335" i="2"/>
  <c r="R335" i="2" s="1"/>
  <c r="X335" i="2" s="1"/>
  <c r="X310" i="2"/>
  <c r="W310" i="2"/>
  <c r="Y336" i="2"/>
  <c r="V336" i="2"/>
  <c r="P21" i="2"/>
  <c r="R22" i="2"/>
  <c r="P104" i="2"/>
  <c r="R104" i="2" s="1"/>
  <c r="R105" i="2"/>
  <c r="X105" i="2" s="1"/>
  <c r="X42" i="2"/>
  <c r="O91" i="2"/>
  <c r="V72" i="2"/>
  <c r="R118" i="2"/>
  <c r="P117" i="2"/>
  <c r="U264" i="2"/>
  <c r="Y265" i="2"/>
  <c r="V265" i="2"/>
  <c r="U279" i="2"/>
  <c r="S278" i="2"/>
  <c r="U22" i="2"/>
  <c r="Y22" i="2" s="1"/>
  <c r="S21" i="2"/>
  <c r="R145" i="2"/>
  <c r="P144" i="2"/>
  <c r="R144" i="2" s="1"/>
  <c r="R285" i="2"/>
  <c r="X285" i="2" s="1"/>
  <c r="P280" i="2"/>
  <c r="Y328" i="2"/>
  <c r="U47" i="2"/>
  <c r="S46" i="2"/>
  <c r="U46" i="2" s="1"/>
  <c r="AC81" i="1" s="1"/>
  <c r="AM81" i="1" s="1"/>
  <c r="X156" i="2"/>
  <c r="V253" i="2"/>
  <c r="Y253" i="2"/>
  <c r="R329" i="2"/>
  <c r="X329" i="2" s="1"/>
  <c r="P328" i="2"/>
  <c r="R328" i="2" s="1"/>
  <c r="X328" i="2" s="1"/>
  <c r="O319" i="2"/>
  <c r="V270" i="2"/>
  <c r="O264" i="2"/>
  <c r="O263" i="2" s="1"/>
  <c r="O261" i="2" s="1"/>
  <c r="U175" i="2" l="1"/>
  <c r="V230" i="2"/>
  <c r="V229" i="2" s="1"/>
  <c r="V92" i="2"/>
  <c r="V261" i="2"/>
  <c r="X145" i="2"/>
  <c r="X144" i="2"/>
  <c r="Y47" i="2"/>
  <c r="Y175" i="2"/>
  <c r="X104" i="2"/>
  <c r="X92" i="2"/>
  <c r="V79" i="2"/>
  <c r="U78" i="2"/>
  <c r="X78" i="2" s="1"/>
  <c r="Y79" i="2"/>
  <c r="W22" i="2"/>
  <c r="X261" i="2"/>
  <c r="P279" i="2"/>
  <c r="R280" i="2"/>
  <c r="X280" i="2" s="1"/>
  <c r="U174" i="2"/>
  <c r="S172" i="2"/>
  <c r="U172" i="2" s="1"/>
  <c r="O318" i="2"/>
  <c r="S276" i="2"/>
  <c r="U278" i="2"/>
  <c r="AC144" i="1" s="1"/>
  <c r="Y264" i="2"/>
  <c r="U263" i="2"/>
  <c r="V22" i="2"/>
  <c r="X243" i="2"/>
  <c r="Y62" i="2"/>
  <c r="V62" i="2"/>
  <c r="S117" i="2"/>
  <c r="U118" i="2"/>
  <c r="Y118" i="2" s="1"/>
  <c r="Y71" i="2"/>
  <c r="X71" i="2"/>
  <c r="O117" i="2"/>
  <c r="U319" i="2"/>
  <c r="Y319" i="2" s="1"/>
  <c r="S318" i="2"/>
  <c r="U318" i="2" s="1"/>
  <c r="Y82" i="2"/>
  <c r="X119" i="2"/>
  <c r="Y155" i="2"/>
  <c r="U212" i="2"/>
  <c r="Y212" i="2" s="1"/>
  <c r="S211" i="2"/>
  <c r="O279" i="2"/>
  <c r="Y279" i="2" s="1"/>
  <c r="V280" i="2"/>
  <c r="O19" i="2"/>
  <c r="O154" i="2"/>
  <c r="V155" i="2"/>
  <c r="R67" i="2"/>
  <c r="X68" i="2"/>
  <c r="Y320" i="2"/>
  <c r="V320" i="2"/>
  <c r="X265" i="2"/>
  <c r="R264" i="2"/>
  <c r="R295" i="2"/>
  <c r="X296" i="2"/>
  <c r="S90" i="2"/>
  <c r="U91" i="2"/>
  <c r="Y91" i="2" s="1"/>
  <c r="X231" i="2"/>
  <c r="R230" i="2"/>
  <c r="U294" i="2"/>
  <c r="Y295" i="2"/>
  <c r="S19" i="2"/>
  <c r="U21" i="2"/>
  <c r="V264" i="2"/>
  <c r="V263" i="2" s="1"/>
  <c r="U67" i="2"/>
  <c r="V67" i="2" s="1"/>
  <c r="Y68" i="2"/>
  <c r="R90" i="2"/>
  <c r="P88" i="2"/>
  <c r="R88" i="2" s="1"/>
  <c r="R213" i="2"/>
  <c r="X213" i="2" s="1"/>
  <c r="P212" i="2"/>
  <c r="X40" i="2"/>
  <c r="Y144" i="2"/>
  <c r="V144" i="2"/>
  <c r="O66" i="2"/>
  <c r="U230" i="2"/>
  <c r="Y231" i="2"/>
  <c r="P294" i="2"/>
  <c r="P293" i="2" s="1"/>
  <c r="Y280" i="2"/>
  <c r="V104" i="2"/>
  <c r="Y104" i="2"/>
  <c r="V131" i="2"/>
  <c r="O130" i="2"/>
  <c r="O211" i="2"/>
  <c r="V174" i="2"/>
  <c r="O172" i="2"/>
  <c r="P19" i="2"/>
  <c r="R21" i="2"/>
  <c r="W21" i="2" s="1"/>
  <c r="O40" i="2"/>
  <c r="V41" i="2"/>
  <c r="P115" i="2"/>
  <c r="R117" i="2"/>
  <c r="O90" i="2"/>
  <c r="P152" i="2"/>
  <c r="R154" i="2"/>
  <c r="V71" i="2"/>
  <c r="U61" i="2"/>
  <c r="X61" i="2" s="1"/>
  <c r="S60" i="2"/>
  <c r="U60" i="2" s="1"/>
  <c r="Y145" i="2"/>
  <c r="V145" i="2"/>
  <c r="V119" i="2"/>
  <c r="R47" i="2"/>
  <c r="X47" i="2" s="1"/>
  <c r="P46" i="2"/>
  <c r="R320" i="2"/>
  <c r="X320" i="2" s="1"/>
  <c r="P319" i="2"/>
  <c r="R176" i="2"/>
  <c r="X176" i="2" s="1"/>
  <c r="P175" i="2"/>
  <c r="Y261" i="2"/>
  <c r="U154" i="2"/>
  <c r="AC109" i="1" s="1"/>
  <c r="AM109" i="1" s="1"/>
  <c r="S152" i="2"/>
  <c r="X85" i="2"/>
  <c r="R84" i="2"/>
  <c r="O46" i="2"/>
  <c r="V46" i="2" s="1"/>
  <c r="V47" i="2"/>
  <c r="V213" i="2"/>
  <c r="Y41" i="2"/>
  <c r="V175" i="2"/>
  <c r="X91" i="2" l="1"/>
  <c r="V91" i="2"/>
  <c r="U77" i="2"/>
  <c r="U75" i="2" s="1"/>
  <c r="Y75" i="2" s="1"/>
  <c r="V172" i="2"/>
  <c r="S291" i="2"/>
  <c r="AC108" i="1"/>
  <c r="AC143" i="1"/>
  <c r="AC91" i="1"/>
  <c r="Y318" i="2"/>
  <c r="AC153" i="1"/>
  <c r="AM153" i="1" s="1"/>
  <c r="Y21" i="2"/>
  <c r="AC76" i="1"/>
  <c r="AM76" i="1" s="1"/>
  <c r="V319" i="2"/>
  <c r="V118" i="2"/>
  <c r="Y60" i="2"/>
  <c r="AC84" i="1"/>
  <c r="AM84" i="1" s="1"/>
  <c r="X118" i="2"/>
  <c r="Y174" i="2"/>
  <c r="AC113" i="1"/>
  <c r="AM113" i="1" s="1"/>
  <c r="Y78" i="2"/>
  <c r="V78" i="2"/>
  <c r="V77" i="2" s="1"/>
  <c r="V75" i="2" s="1"/>
  <c r="Y263" i="2"/>
  <c r="AC139" i="1"/>
  <c r="AM139" i="1" s="1"/>
  <c r="Y154" i="2"/>
  <c r="R115" i="2"/>
  <c r="R263" i="2"/>
  <c r="X263" i="2" s="1"/>
  <c r="X264" i="2"/>
  <c r="S289" i="2"/>
  <c r="U289" i="2" s="1"/>
  <c r="U291" i="2"/>
  <c r="O278" i="2"/>
  <c r="Y278" i="2" s="1"/>
  <c r="V279" i="2"/>
  <c r="Y172" i="2"/>
  <c r="R319" i="2"/>
  <c r="X319" i="2" s="1"/>
  <c r="P318" i="2"/>
  <c r="R318" i="2" s="1"/>
  <c r="X318" i="2" s="1"/>
  <c r="Y61" i="2"/>
  <c r="V61" i="2"/>
  <c r="X84" i="2"/>
  <c r="R83" i="2"/>
  <c r="R152" i="2"/>
  <c r="R19" i="2"/>
  <c r="O209" i="2"/>
  <c r="R212" i="2"/>
  <c r="X212" i="2" s="1"/>
  <c r="P211" i="2"/>
  <c r="U19" i="2"/>
  <c r="Y19" i="2" s="1"/>
  <c r="Y294" i="2"/>
  <c r="U293" i="2"/>
  <c r="S88" i="2"/>
  <c r="U88" i="2" s="1"/>
  <c r="X88" i="2" s="1"/>
  <c r="U90" i="2"/>
  <c r="X67" i="2"/>
  <c r="R66" i="2"/>
  <c r="S38" i="2"/>
  <c r="U276" i="2"/>
  <c r="S274" i="2"/>
  <c r="U274" i="2" s="1"/>
  <c r="O38" i="2"/>
  <c r="V40" i="2"/>
  <c r="V130" i="2"/>
  <c r="Y130" i="2"/>
  <c r="X154" i="2"/>
  <c r="V60" i="2"/>
  <c r="R175" i="2"/>
  <c r="X175" i="2" s="1"/>
  <c r="P174" i="2"/>
  <c r="R46" i="2"/>
  <c r="P38" i="2"/>
  <c r="P17" i="2" s="1"/>
  <c r="O88" i="2"/>
  <c r="V88" i="2" s="1"/>
  <c r="V212" i="2"/>
  <c r="U229" i="2"/>
  <c r="Y230" i="2"/>
  <c r="U66" i="2"/>
  <c r="V66" i="2" s="1"/>
  <c r="Y67" i="2"/>
  <c r="Y46" i="2"/>
  <c r="Y40" i="2"/>
  <c r="X230" i="2"/>
  <c r="R229" i="2"/>
  <c r="V21" i="2"/>
  <c r="U211" i="2"/>
  <c r="S209" i="2"/>
  <c r="O115" i="2"/>
  <c r="V318" i="2"/>
  <c r="O291" i="2"/>
  <c r="U152" i="2"/>
  <c r="S150" i="2"/>
  <c r="X295" i="2"/>
  <c r="R294" i="2"/>
  <c r="O152" i="2"/>
  <c r="V154" i="2"/>
  <c r="S115" i="2"/>
  <c r="U117" i="2"/>
  <c r="AC99" i="1" s="1"/>
  <c r="AM99" i="1" s="1"/>
  <c r="X60" i="2"/>
  <c r="R279" i="2"/>
  <c r="X279" i="2" s="1"/>
  <c r="P278" i="2"/>
  <c r="X229" i="2" l="1"/>
  <c r="S17" i="2"/>
  <c r="V19" i="2"/>
  <c r="AC88" i="1"/>
  <c r="AM91" i="1"/>
  <c r="AC112" i="1"/>
  <c r="AC138" i="1"/>
  <c r="AC97" i="1"/>
  <c r="AC141" i="1"/>
  <c r="O17" i="2"/>
  <c r="Y293" i="2"/>
  <c r="AC150" i="1"/>
  <c r="AM150" i="1" s="1"/>
  <c r="Y90" i="2"/>
  <c r="AC94" i="1"/>
  <c r="AM94" i="1" s="1"/>
  <c r="Y66" i="2"/>
  <c r="AC85" i="1"/>
  <c r="AM85" i="1" s="1"/>
  <c r="Y211" i="2"/>
  <c r="AC129" i="1"/>
  <c r="AM129" i="1" s="1"/>
  <c r="Y229" i="2"/>
  <c r="AC131" i="1"/>
  <c r="AM131" i="1" s="1"/>
  <c r="R17" i="2"/>
  <c r="U150" i="2"/>
  <c r="Y152" i="2"/>
  <c r="U17" i="2"/>
  <c r="Y17" i="2" s="1"/>
  <c r="Y117" i="2"/>
  <c r="U115" i="2"/>
  <c r="Y115" i="2" s="1"/>
  <c r="V291" i="2"/>
  <c r="O289" i="2"/>
  <c r="V289" i="2" s="1"/>
  <c r="S207" i="2"/>
  <c r="S15" i="2" s="1"/>
  <c r="U15" i="2" s="1"/>
  <c r="U209" i="2"/>
  <c r="V209" i="2" s="1"/>
  <c r="V207" i="2" s="1"/>
  <c r="V90" i="2"/>
  <c r="R174" i="2"/>
  <c r="X174" i="2" s="1"/>
  <c r="P172" i="2"/>
  <c r="Y88" i="2"/>
  <c r="V211" i="2"/>
  <c r="Y291" i="2"/>
  <c r="X90" i="2"/>
  <c r="X115" i="2"/>
  <c r="X46" i="2"/>
  <c r="R38" i="2"/>
  <c r="X152" i="2"/>
  <c r="R278" i="2"/>
  <c r="X278" i="2" s="1"/>
  <c r="P276" i="2"/>
  <c r="X66" i="2"/>
  <c r="R211" i="2"/>
  <c r="X211" i="2" s="1"/>
  <c r="P209" i="2"/>
  <c r="W19" i="2"/>
  <c r="W17" i="2" s="1"/>
  <c r="W15" i="2" s="1"/>
  <c r="X83" i="2"/>
  <c r="R82" i="2"/>
  <c r="O207" i="2"/>
  <c r="X294" i="2"/>
  <c r="R293" i="2"/>
  <c r="X293" i="2" s="1"/>
  <c r="V117" i="2"/>
  <c r="V115" i="2" s="1"/>
  <c r="P291" i="2"/>
  <c r="U38" i="2"/>
  <c r="Y38" i="2" s="1"/>
  <c r="V152" i="2"/>
  <c r="V150" i="2" s="1"/>
  <c r="O150" i="2"/>
  <c r="V278" i="2"/>
  <c r="O276" i="2"/>
  <c r="X117" i="2"/>
  <c r="AC102" i="1" l="1"/>
  <c r="X38" i="2"/>
  <c r="Y150" i="2"/>
  <c r="AC93" i="1"/>
  <c r="AC79" i="1"/>
  <c r="AC149" i="1"/>
  <c r="Y289" i="2"/>
  <c r="AC128" i="1"/>
  <c r="AC49" i="2"/>
  <c r="V17" i="2"/>
  <c r="O274" i="2"/>
  <c r="V276" i="2"/>
  <c r="R276" i="2"/>
  <c r="X276" i="2" s="1"/>
  <c r="P274" i="2"/>
  <c r="R274" i="2" s="1"/>
  <c r="X274" i="2" s="1"/>
  <c r="R291" i="2"/>
  <c r="X291" i="2" s="1"/>
  <c r="P289" i="2"/>
  <c r="R289" i="2" s="1"/>
  <c r="X289" i="2" s="1"/>
  <c r="X82" i="2"/>
  <c r="R77" i="2"/>
  <c r="R75" i="2" s="1"/>
  <c r="V38" i="2"/>
  <c r="Y276" i="2"/>
  <c r="U207" i="2"/>
  <c r="Y207" i="2" s="1"/>
  <c r="Y209" i="2"/>
  <c r="R209" i="2"/>
  <c r="P207" i="2"/>
  <c r="R172" i="2"/>
  <c r="P150" i="2"/>
  <c r="P15" i="2" l="1"/>
  <c r="R15" i="2" s="1"/>
  <c r="AC225" i="2" s="1"/>
  <c r="AC226" i="2" s="1"/>
  <c r="AC125" i="1"/>
  <c r="AC148" i="1"/>
  <c r="X172" i="2"/>
  <c r="R150" i="2"/>
  <c r="X150" i="2" s="1"/>
  <c r="X209" i="2"/>
  <c r="R207" i="2"/>
  <c r="X207" i="2" s="1"/>
  <c r="V274" i="2"/>
  <c r="Y274" i="2"/>
  <c r="O15" i="2"/>
  <c r="X15" i="2" l="1"/>
  <c r="AE19" i="2" s="1"/>
  <c r="AE21" i="2" s="1"/>
  <c r="AC48" i="2"/>
  <c r="AC51" i="2" s="1"/>
  <c r="V15" i="2"/>
  <c r="Y15" i="2"/>
  <c r="AE31" i="2"/>
  <c r="AE33" i="2" s="1"/>
  <c r="AC17" i="2"/>
  <c r="AC21" i="2" s="1"/>
  <c r="AC75" i="1" l="1"/>
  <c r="AC74" i="1" l="1"/>
  <c r="AJ146" i="1"/>
  <c r="AJ145" i="1"/>
  <c r="AJ99" i="1"/>
  <c r="AJ97" i="1"/>
  <c r="AJ76" i="1"/>
  <c r="AJ141" i="1"/>
  <c r="AJ125" i="1"/>
  <c r="AJ102" i="1"/>
  <c r="AJ74" i="1"/>
  <c r="AH68" i="1"/>
  <c r="AH67" i="1"/>
  <c r="AH66" i="1"/>
  <c r="AH65" i="1"/>
  <c r="AH64" i="1"/>
  <c r="AH62" i="1"/>
  <c r="AH61" i="1"/>
  <c r="AH60" i="1"/>
  <c r="AH59" i="1"/>
  <c r="AH58" i="1"/>
  <c r="AH57" i="1"/>
  <c r="AH56" i="1"/>
  <c r="AH55" i="1"/>
  <c r="AH54" i="1"/>
  <c r="AH52" i="1"/>
  <c r="AH51" i="1"/>
  <c r="AH50" i="1"/>
  <c r="AH49" i="1"/>
  <c r="AH48" i="1"/>
  <c r="AH47" i="1"/>
  <c r="AH46" i="1"/>
  <c r="AH45" i="1"/>
  <c r="AH36" i="1"/>
  <c r="AH35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F21" i="1"/>
  <c r="AF32" i="1"/>
  <c r="AF70" i="1"/>
  <c r="AF69" i="1"/>
  <c r="AF68" i="1"/>
  <c r="AF67" i="1"/>
  <c r="AF66" i="1"/>
  <c r="AF65" i="1"/>
  <c r="AF64" i="1"/>
  <c r="AF63" i="1"/>
  <c r="AF62" i="1"/>
  <c r="AF61" i="1"/>
  <c r="AF60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1" i="1"/>
  <c r="AF30" i="1"/>
  <c r="AF29" i="1"/>
  <c r="AF28" i="1"/>
  <c r="AF27" i="1"/>
  <c r="AF26" i="1"/>
  <c r="AF25" i="1"/>
  <c r="AF24" i="1"/>
  <c r="AF23" i="1"/>
  <c r="AF22" i="1"/>
  <c r="AF19" i="1"/>
  <c r="AF20" i="1"/>
  <c r="AF18" i="1"/>
  <c r="AE16" i="1"/>
  <c r="AO16" i="1" s="1"/>
  <c r="K155" i="1"/>
  <c r="K152" i="1"/>
  <c r="K147" i="1"/>
  <c r="K146" i="1"/>
  <c r="K137" i="1"/>
  <c r="K136" i="1"/>
  <c r="K135" i="1"/>
  <c r="K134" i="1"/>
  <c r="K133" i="1"/>
  <c r="K124" i="1"/>
  <c r="K123" i="1"/>
  <c r="K122" i="1"/>
  <c r="K121" i="1"/>
  <c r="K120" i="1"/>
  <c r="K119" i="1"/>
  <c r="K118" i="1"/>
  <c r="K117" i="1"/>
  <c r="K116" i="1"/>
  <c r="K115" i="1"/>
  <c r="K114" i="1"/>
  <c r="K111" i="1"/>
  <c r="K110" i="1"/>
  <c r="K107" i="1"/>
  <c r="K106" i="1"/>
  <c r="K105" i="1"/>
  <c r="K92" i="1"/>
  <c r="K91" i="1"/>
  <c r="K90" i="1"/>
  <c r="K89" i="1"/>
  <c r="K83" i="1"/>
  <c r="K78" i="1"/>
  <c r="K77" i="1" s="1"/>
  <c r="AA154" i="1"/>
  <c r="AA153" i="1" s="1"/>
  <c r="AA151" i="1"/>
  <c r="AA150" i="1" s="1"/>
  <c r="AA145" i="1"/>
  <c r="AA144" i="1" s="1"/>
  <c r="AA143" i="1" s="1"/>
  <c r="AA141" i="1" s="1"/>
  <c r="AA139" i="1"/>
  <c r="AA130" i="1"/>
  <c r="AA129" i="1"/>
  <c r="AA127" i="1"/>
  <c r="AA126" i="1" s="1"/>
  <c r="AA113" i="1"/>
  <c r="AA112" i="1" s="1"/>
  <c r="AA109" i="1"/>
  <c r="AA108" i="1" s="1"/>
  <c r="AA104" i="1"/>
  <c r="AA103" i="1" s="1"/>
  <c r="AA101" i="1"/>
  <c r="AA100" i="1"/>
  <c r="AA99" i="1"/>
  <c r="AA98" i="1"/>
  <c r="AA96" i="1"/>
  <c r="AA95" i="1"/>
  <c r="AA94" i="1"/>
  <c r="AA88" i="1"/>
  <c r="AA87" i="1"/>
  <c r="AA86" i="1"/>
  <c r="AA84" i="1"/>
  <c r="AA82" i="1"/>
  <c r="AA81" i="1" s="1"/>
  <c r="AA80" i="1"/>
  <c r="AA77" i="1"/>
  <c r="AA76" i="1"/>
  <c r="AA75" i="1" s="1"/>
  <c r="Y52" i="1"/>
  <c r="W52" i="1"/>
  <c r="Y45" i="1"/>
  <c r="W45" i="1"/>
  <c r="W44" i="1"/>
  <c r="W43" i="1"/>
  <c r="Y42" i="1"/>
  <c r="W41" i="1"/>
  <c r="Y40" i="1"/>
  <c r="W39" i="1"/>
  <c r="W38" i="1"/>
  <c r="W37" i="1"/>
  <c r="Y36" i="1"/>
  <c r="W36" i="1"/>
  <c r="Y35" i="1"/>
  <c r="W35" i="1"/>
  <c r="W34" i="1"/>
  <c r="Y33" i="1"/>
  <c r="Y31" i="1"/>
  <c r="W31" i="1"/>
  <c r="Y30" i="1"/>
  <c r="W30" i="1"/>
  <c r="Y29" i="1"/>
  <c r="W29" i="1"/>
  <c r="Y28" i="1"/>
  <c r="W28" i="1"/>
  <c r="Y27" i="1"/>
  <c r="W27" i="1"/>
  <c r="Y26" i="1"/>
  <c r="W26" i="1"/>
  <c r="Y25" i="1"/>
  <c r="W25" i="1"/>
  <c r="Y24" i="1"/>
  <c r="W24" i="1"/>
  <c r="Y23" i="1"/>
  <c r="W23" i="1"/>
  <c r="Y22" i="1"/>
  <c r="W22" i="1"/>
  <c r="Y19" i="1"/>
  <c r="Y18" i="1" s="1"/>
  <c r="W18" i="1"/>
  <c r="Q154" i="1"/>
  <c r="Q153" i="1" s="1"/>
  <c r="U153" i="1"/>
  <c r="AO153" i="1" s="1"/>
  <c r="Q151" i="1"/>
  <c r="Q150" i="1" s="1"/>
  <c r="U150" i="1"/>
  <c r="AO150" i="1" s="1"/>
  <c r="S149" i="1"/>
  <c r="Q145" i="1"/>
  <c r="Q144" i="1" s="1"/>
  <c r="Q143" i="1" s="1"/>
  <c r="Q141" i="1" s="1"/>
  <c r="U144" i="1"/>
  <c r="S144" i="1"/>
  <c r="Q139" i="1"/>
  <c r="Q138" i="1" s="1"/>
  <c r="U138" i="1"/>
  <c r="AO138" i="1" s="1"/>
  <c r="S138" i="1"/>
  <c r="AM138" i="1" s="1"/>
  <c r="U132" i="1"/>
  <c r="Q131" i="1"/>
  <c r="AK131" i="1" s="1"/>
  <c r="U130" i="1"/>
  <c r="AO130" i="1" s="1"/>
  <c r="Q130" i="1"/>
  <c r="Q129" i="1"/>
  <c r="K129" i="1" s="1"/>
  <c r="S128" i="1"/>
  <c r="AM128" i="1" s="1"/>
  <c r="Q127" i="1"/>
  <c r="Q126" i="1" s="1"/>
  <c r="U126" i="1"/>
  <c r="S126" i="1"/>
  <c r="U113" i="1"/>
  <c r="Q113" i="1"/>
  <c r="Q112" i="1" s="1"/>
  <c r="S112" i="1"/>
  <c r="AM112" i="1" s="1"/>
  <c r="Q109" i="1"/>
  <c r="Q108" i="1" s="1"/>
  <c r="U108" i="1"/>
  <c r="AO108" i="1" s="1"/>
  <c r="S108" i="1"/>
  <c r="AM108" i="1" s="1"/>
  <c r="Q104" i="1"/>
  <c r="Q103" i="1" s="1"/>
  <c r="U103" i="1"/>
  <c r="AO103" i="1" s="1"/>
  <c r="S103" i="1"/>
  <c r="AM103" i="1" s="1"/>
  <c r="U101" i="1"/>
  <c r="Q101" i="1"/>
  <c r="Q100" i="1"/>
  <c r="K100" i="1" s="1"/>
  <c r="Q99" i="1"/>
  <c r="K99" i="1" s="1"/>
  <c r="Q98" i="1"/>
  <c r="K98" i="1" s="1"/>
  <c r="S97" i="1"/>
  <c r="AM97" i="1" s="1"/>
  <c r="Q96" i="1"/>
  <c r="K96" i="1" s="1"/>
  <c r="Q95" i="1"/>
  <c r="K95" i="1" s="1"/>
  <c r="Q94" i="1"/>
  <c r="K94" i="1" s="1"/>
  <c r="U93" i="1"/>
  <c r="AO93" i="1" s="1"/>
  <c r="S93" i="1"/>
  <c r="AM93" i="1" s="1"/>
  <c r="U88" i="1"/>
  <c r="AO88" i="1" s="1"/>
  <c r="S88" i="1"/>
  <c r="AM88" i="1" s="1"/>
  <c r="Q88" i="1"/>
  <c r="Q87" i="1"/>
  <c r="K87" i="1" s="1"/>
  <c r="Q86" i="1"/>
  <c r="K86" i="1" s="1"/>
  <c r="U85" i="1"/>
  <c r="AO85" i="1" s="1"/>
  <c r="Q84" i="1"/>
  <c r="K84" i="1" s="1"/>
  <c r="Q82" i="1"/>
  <c r="Q81" i="1" s="1"/>
  <c r="U81" i="1"/>
  <c r="AO81" i="1" s="1"/>
  <c r="Q80" i="1"/>
  <c r="K80" i="1" s="1"/>
  <c r="S79" i="1"/>
  <c r="AM79" i="1" s="1"/>
  <c r="U77" i="1"/>
  <c r="AO77" i="1" s="1"/>
  <c r="S77" i="1"/>
  <c r="Q77" i="1"/>
  <c r="Q76" i="1"/>
  <c r="K76" i="1" s="1"/>
  <c r="K75" i="1" s="1"/>
  <c r="U75" i="1"/>
  <c r="AO75" i="1" s="1"/>
  <c r="S75" i="1"/>
  <c r="AM75" i="1" s="1"/>
  <c r="M70" i="1"/>
  <c r="AG70" i="1" s="1"/>
  <c r="M69" i="1"/>
  <c r="AG69" i="1" s="1"/>
  <c r="O68" i="1"/>
  <c r="AI68" i="1" s="1"/>
  <c r="M68" i="1"/>
  <c r="O67" i="1"/>
  <c r="AI67" i="1" s="1"/>
  <c r="M67" i="1"/>
  <c r="O66" i="1"/>
  <c r="AI66" i="1" s="1"/>
  <c r="M66" i="1"/>
  <c r="AG66" i="1" s="1"/>
  <c r="O65" i="1"/>
  <c r="AI65" i="1" s="1"/>
  <c r="M65" i="1"/>
  <c r="AG65" i="1" s="1"/>
  <c r="O64" i="1"/>
  <c r="AI64" i="1" s="1"/>
  <c r="M64" i="1"/>
  <c r="O63" i="1"/>
  <c r="M63" i="1"/>
  <c r="O62" i="1"/>
  <c r="AI62" i="1" s="1"/>
  <c r="M62" i="1"/>
  <c r="AG62" i="1" s="1"/>
  <c r="O61" i="1"/>
  <c r="AI61" i="1" s="1"/>
  <c r="M61" i="1"/>
  <c r="AG61" i="1" s="1"/>
  <c r="O60" i="1"/>
  <c r="AI60" i="1" s="1"/>
  <c r="M60" i="1"/>
  <c r="O59" i="1"/>
  <c r="K59" i="1" s="1"/>
  <c r="O58" i="1"/>
  <c r="AI58" i="1" s="1"/>
  <c r="M58" i="1"/>
  <c r="AG58" i="1" s="1"/>
  <c r="O57" i="1"/>
  <c r="AI57" i="1" s="1"/>
  <c r="M57" i="1"/>
  <c r="O56" i="1"/>
  <c r="AI56" i="1" s="1"/>
  <c r="M56" i="1"/>
  <c r="AG56" i="1" s="1"/>
  <c r="O55" i="1"/>
  <c r="AI55" i="1" s="1"/>
  <c r="M55" i="1"/>
  <c r="O54" i="1"/>
  <c r="AI54" i="1" s="1"/>
  <c r="M54" i="1"/>
  <c r="AG54" i="1" s="1"/>
  <c r="M53" i="1"/>
  <c r="O51" i="1"/>
  <c r="AI51" i="1" s="1"/>
  <c r="M51" i="1"/>
  <c r="AG51" i="1" s="1"/>
  <c r="O50" i="1"/>
  <c r="AI50" i="1" s="1"/>
  <c r="M50" i="1"/>
  <c r="O49" i="1"/>
  <c r="AI49" i="1" s="1"/>
  <c r="M49" i="1"/>
  <c r="AG49" i="1" s="1"/>
  <c r="O48" i="1"/>
  <c r="AI48" i="1" s="1"/>
  <c r="M48" i="1"/>
  <c r="AG48" i="1" s="1"/>
  <c r="O47" i="1"/>
  <c r="AI47" i="1" s="1"/>
  <c r="M47" i="1"/>
  <c r="AG47" i="1" s="1"/>
  <c r="O46" i="1"/>
  <c r="AI46" i="1" s="1"/>
  <c r="M46" i="1"/>
  <c r="M44" i="1"/>
  <c r="K44" i="1" s="1"/>
  <c r="M43" i="1"/>
  <c r="K43" i="1" s="1"/>
  <c r="O42" i="1"/>
  <c r="M41" i="1"/>
  <c r="K41" i="1" s="1"/>
  <c r="K40" i="1" s="1"/>
  <c r="O40" i="1"/>
  <c r="M39" i="1"/>
  <c r="K39" i="1" s="1"/>
  <c r="M38" i="1"/>
  <c r="K38" i="1" s="1"/>
  <c r="M37" i="1"/>
  <c r="K37" i="1" s="1"/>
  <c r="O36" i="1"/>
  <c r="M36" i="1"/>
  <c r="O35" i="1"/>
  <c r="M35" i="1"/>
  <c r="M34" i="1"/>
  <c r="K34" i="1" s="1"/>
  <c r="O33" i="1"/>
  <c r="K33" i="1" s="1"/>
  <c r="O31" i="1"/>
  <c r="M31" i="1"/>
  <c r="O30" i="1"/>
  <c r="M30" i="1"/>
  <c r="O29" i="1"/>
  <c r="M29" i="1"/>
  <c r="O28" i="1"/>
  <c r="M28" i="1"/>
  <c r="O27" i="1"/>
  <c r="M27" i="1"/>
  <c r="O26" i="1"/>
  <c r="M26" i="1"/>
  <c r="O25" i="1"/>
  <c r="M25" i="1"/>
  <c r="O24" i="1"/>
  <c r="M24" i="1"/>
  <c r="O23" i="1"/>
  <c r="M23" i="1"/>
  <c r="O22" i="1"/>
  <c r="M22" i="1"/>
  <c r="O19" i="1"/>
  <c r="O18" i="1" s="1"/>
  <c r="M19" i="1"/>
  <c r="M18" i="1" s="1"/>
  <c r="U143" i="1" l="1"/>
  <c r="AO144" i="1"/>
  <c r="U97" i="1"/>
  <c r="AO97" i="1" s="1"/>
  <c r="AO101" i="1"/>
  <c r="U112" i="1"/>
  <c r="AO112" i="1" s="1"/>
  <c r="AO113" i="1"/>
  <c r="U131" i="1"/>
  <c r="AO131" i="1" s="1"/>
  <c r="AO132" i="1"/>
  <c r="S143" i="1"/>
  <c r="AM144" i="1"/>
  <c r="S148" i="1"/>
  <c r="AM148" i="1" s="1"/>
  <c r="AM149" i="1"/>
  <c r="AC16" i="1"/>
  <c r="AH156" i="1"/>
  <c r="AJ156" i="1"/>
  <c r="AF156" i="1"/>
  <c r="AG18" i="1"/>
  <c r="U79" i="1"/>
  <c r="AO79" i="1" s="1"/>
  <c r="K101" i="1"/>
  <c r="K97" i="1" s="1"/>
  <c r="K130" i="1"/>
  <c r="K81" i="1"/>
  <c r="W42" i="1"/>
  <c r="K88" i="1"/>
  <c r="O21" i="1"/>
  <c r="M40" i="1"/>
  <c r="Y21" i="1"/>
  <c r="K150" i="1"/>
  <c r="K63" i="1"/>
  <c r="K67" i="1"/>
  <c r="K153" i="1"/>
  <c r="K132" i="1"/>
  <c r="K24" i="1"/>
  <c r="K26" i="1"/>
  <c r="K30" i="1"/>
  <c r="K36" i="1"/>
  <c r="M45" i="1"/>
  <c r="AG45" i="1" s="1"/>
  <c r="K50" i="1"/>
  <c r="M52" i="1"/>
  <c r="AG52" i="1" s="1"/>
  <c r="K60" i="1"/>
  <c r="K64" i="1"/>
  <c r="K22" i="1"/>
  <c r="K28" i="1"/>
  <c r="K23" i="1"/>
  <c r="K25" i="1"/>
  <c r="K27" i="1"/>
  <c r="K29" i="1"/>
  <c r="K31" i="1"/>
  <c r="K35" i="1"/>
  <c r="AI24" i="1"/>
  <c r="AI26" i="1"/>
  <c r="AI28" i="1"/>
  <c r="AI30" i="1"/>
  <c r="AI36" i="1"/>
  <c r="AG43" i="1"/>
  <c r="AK80" i="1"/>
  <c r="AK87" i="1"/>
  <c r="AK96" i="1"/>
  <c r="AK101" i="1"/>
  <c r="AK126" i="1"/>
  <c r="AK141" i="1"/>
  <c r="AG22" i="1"/>
  <c r="AG24" i="1"/>
  <c r="AG26" i="1"/>
  <c r="AG28" i="1"/>
  <c r="AG30" i="1"/>
  <c r="AI33" i="1"/>
  <c r="AG36" i="1"/>
  <c r="AG39" i="1"/>
  <c r="AK86" i="1"/>
  <c r="AK95" i="1"/>
  <c r="AK100" i="1"/>
  <c r="AK112" i="1"/>
  <c r="AK139" i="1"/>
  <c r="K68" i="1"/>
  <c r="AI18" i="1"/>
  <c r="AI23" i="1"/>
  <c r="AI25" i="1"/>
  <c r="AI27" i="1"/>
  <c r="AI29" i="1"/>
  <c r="AI31" i="1"/>
  <c r="AI35" i="1"/>
  <c r="AG38" i="1"/>
  <c r="AK84" i="1"/>
  <c r="AA93" i="1"/>
  <c r="AK99" i="1"/>
  <c r="AK108" i="1"/>
  <c r="AK130" i="1"/>
  <c r="AK153" i="1"/>
  <c r="O45" i="1"/>
  <c r="AI45" i="1" s="1"/>
  <c r="K55" i="1"/>
  <c r="K57" i="1"/>
  <c r="AG23" i="1"/>
  <c r="AG25" i="1"/>
  <c r="AG27" i="1"/>
  <c r="AG29" i="1"/>
  <c r="AG31" i="1"/>
  <c r="AG35" i="1"/>
  <c r="AG37" i="1"/>
  <c r="AG41" i="1"/>
  <c r="AG44" i="1"/>
  <c r="AK81" i="1"/>
  <c r="AK98" i="1"/>
  <c r="AK103" i="1"/>
  <c r="AK129" i="1"/>
  <c r="AK150" i="1"/>
  <c r="K93" i="1"/>
  <c r="K42" i="1"/>
  <c r="M21" i="1"/>
  <c r="W32" i="1"/>
  <c r="W40" i="1"/>
  <c r="K49" i="1"/>
  <c r="K54" i="1"/>
  <c r="K58" i="1"/>
  <c r="K62" i="1"/>
  <c r="K66" i="1"/>
  <c r="K70" i="1"/>
  <c r="K131" i="1"/>
  <c r="K144" i="1"/>
  <c r="K143" i="1" s="1"/>
  <c r="K141" i="1" s="1"/>
  <c r="K154" i="1"/>
  <c r="AG53" i="1"/>
  <c r="AG55" i="1"/>
  <c r="AG57" i="1"/>
  <c r="AG60" i="1"/>
  <c r="AG64" i="1"/>
  <c r="AG68" i="1"/>
  <c r="AI19" i="1"/>
  <c r="AI59" i="1"/>
  <c r="AK143" i="1"/>
  <c r="AK127" i="1"/>
  <c r="AK104" i="1"/>
  <c r="AK76" i="1"/>
  <c r="AK82" i="1"/>
  <c r="K48" i="1"/>
  <c r="K53" i="1"/>
  <c r="K61" i="1"/>
  <c r="K65" i="1"/>
  <c r="K69" i="1"/>
  <c r="K139" i="1"/>
  <c r="K138" i="1" s="1"/>
  <c r="AG34" i="1"/>
  <c r="AG46" i="1"/>
  <c r="AG50" i="1"/>
  <c r="AK151" i="1"/>
  <c r="AK144" i="1"/>
  <c r="M42" i="1"/>
  <c r="K19" i="1"/>
  <c r="K18" i="1" s="1"/>
  <c r="K47" i="1"/>
  <c r="K51" i="1"/>
  <c r="K56" i="1"/>
  <c r="K104" i="1"/>
  <c r="K103" i="1" s="1"/>
  <c r="K109" i="1"/>
  <c r="K108" i="1" s="1"/>
  <c r="AG63" i="1"/>
  <c r="AG67" i="1"/>
  <c r="AI22" i="1"/>
  <c r="AK154" i="1"/>
  <c r="AK145" i="1"/>
  <c r="AK113" i="1"/>
  <c r="AK109" i="1"/>
  <c r="AK94" i="1"/>
  <c r="O52" i="1"/>
  <c r="AI52" i="1" s="1"/>
  <c r="Q75" i="1"/>
  <c r="AK75" i="1" s="1"/>
  <c r="Q93" i="1"/>
  <c r="AA138" i="1"/>
  <c r="AK138" i="1" s="1"/>
  <c r="K46" i="1"/>
  <c r="K82" i="1"/>
  <c r="K113" i="1"/>
  <c r="K112" i="1" s="1"/>
  <c r="K127" i="1"/>
  <c r="K126" i="1" s="1"/>
  <c r="K145" i="1"/>
  <c r="K151" i="1"/>
  <c r="AG19" i="1"/>
  <c r="S125" i="1"/>
  <c r="AM125" i="1" s="1"/>
  <c r="Y32" i="1"/>
  <c r="O32" i="1"/>
  <c r="S102" i="1"/>
  <c r="AM102" i="1" s="1"/>
  <c r="AA128" i="1"/>
  <c r="M32" i="1"/>
  <c r="AA97" i="1"/>
  <c r="AA149" i="1"/>
  <c r="S74" i="1"/>
  <c r="AM74" i="1" s="1"/>
  <c r="Q85" i="1"/>
  <c r="W21" i="1"/>
  <c r="AA85" i="1"/>
  <c r="AA102" i="1"/>
  <c r="U102" i="1"/>
  <c r="AO102" i="1" s="1"/>
  <c r="Q128" i="1"/>
  <c r="Q125" i="1" s="1"/>
  <c r="U74" i="1"/>
  <c r="AO74" i="1" s="1"/>
  <c r="Q97" i="1"/>
  <c r="U149" i="1"/>
  <c r="Q149" i="1"/>
  <c r="Q148" i="1" s="1"/>
  <c r="Q102" i="1"/>
  <c r="U128" i="1" l="1"/>
  <c r="U148" i="1"/>
  <c r="AO148" i="1" s="1"/>
  <c r="AO149" i="1"/>
  <c r="U141" i="1"/>
  <c r="AO143" i="1"/>
  <c r="S141" i="1"/>
  <c r="AM141" i="1" s="1"/>
  <c r="AM156" i="1" s="1"/>
  <c r="AM143" i="1"/>
  <c r="K128" i="1"/>
  <c r="K125" i="1" s="1"/>
  <c r="K32" i="1"/>
  <c r="AG40" i="1"/>
  <c r="AG42" i="1"/>
  <c r="K149" i="1"/>
  <c r="K148" i="1" s="1"/>
  <c r="AI21" i="1"/>
  <c r="S16" i="1"/>
  <c r="K21" i="1"/>
  <c r="AK128" i="1"/>
  <c r="O20" i="1"/>
  <c r="O16" i="1" s="1"/>
  <c r="AK97" i="1"/>
  <c r="AK93" i="1"/>
  <c r="K102" i="1"/>
  <c r="M20" i="1"/>
  <c r="M16" i="1" s="1"/>
  <c r="W20" i="1"/>
  <c r="W16" i="1" s="1"/>
  <c r="AG21" i="1"/>
  <c r="AA148" i="1"/>
  <c r="AK148" i="1" s="1"/>
  <c r="AK149" i="1"/>
  <c r="K45" i="1"/>
  <c r="AG32" i="1"/>
  <c r="Y20" i="1"/>
  <c r="AI32" i="1"/>
  <c r="AK102" i="1"/>
  <c r="K52" i="1"/>
  <c r="AA79" i="1"/>
  <c r="AK85" i="1"/>
  <c r="Q79" i="1"/>
  <c r="Q74" i="1" s="1"/>
  <c r="Q16" i="1" s="1"/>
  <c r="K85" i="1"/>
  <c r="K79" i="1" s="1"/>
  <c r="K74" i="1" s="1"/>
  <c r="AA125" i="1"/>
  <c r="AK125" i="1" s="1"/>
  <c r="U125" i="1" l="1"/>
  <c r="AO128" i="1"/>
  <c r="AI156" i="1"/>
  <c r="AG156" i="1"/>
  <c r="K20" i="1"/>
  <c r="AG20" i="1"/>
  <c r="AA74" i="1"/>
  <c r="AK79" i="1"/>
  <c r="AI20" i="1"/>
  <c r="Y16" i="1"/>
  <c r="AU154" i="1"/>
  <c r="AT154" i="1"/>
  <c r="AS150" i="1"/>
  <c r="AU149" i="1"/>
  <c r="AT149" i="1"/>
  <c r="AS149" i="1"/>
  <c r="AU148" i="1"/>
  <c r="AT148" i="1"/>
  <c r="AS147" i="1"/>
  <c r="AT146" i="1"/>
  <c r="AZ145" i="1"/>
  <c r="AY145" i="1"/>
  <c r="AV145" i="1"/>
  <c r="AS145" i="1"/>
  <c r="AR143" i="1"/>
  <c r="AU143" i="1"/>
  <c r="AT139" i="1"/>
  <c r="AR139" i="1"/>
  <c r="AS137" i="1"/>
  <c r="AU137" i="1" s="1"/>
  <c r="AS136" i="1"/>
  <c r="AV133" i="1"/>
  <c r="AU133" i="1"/>
  <c r="AT133" i="1"/>
  <c r="AT132" i="1"/>
  <c r="AT125" i="1"/>
  <c r="AT122" i="1"/>
  <c r="AV118" i="1"/>
  <c r="AU118" i="1"/>
  <c r="AU117" i="1"/>
  <c r="AT117" i="1"/>
  <c r="AT116" i="1"/>
  <c r="AU115" i="1"/>
  <c r="AV115" i="1" s="1"/>
  <c r="AT114" i="1"/>
  <c r="AU114" i="1" s="1"/>
  <c r="AS112" i="1"/>
  <c r="AX109" i="1"/>
  <c r="AW109" i="1"/>
  <c r="AV109" i="1"/>
  <c r="AU109" i="1"/>
  <c r="AT109" i="1"/>
  <c r="AR109" i="1"/>
  <c r="AR103" i="1"/>
  <c r="AT102" i="1"/>
  <c r="AT99" i="1"/>
  <c r="AS99" i="1"/>
  <c r="AX96" i="1"/>
  <c r="AW96" i="1"/>
  <c r="AV96" i="1"/>
  <c r="AU96" i="1"/>
  <c r="AT96" i="1"/>
  <c r="AS96" i="1"/>
  <c r="AR96" i="1"/>
  <c r="AR95" i="1"/>
  <c r="AR94" i="1"/>
  <c r="AS88" i="1"/>
  <c r="AR88" i="1"/>
  <c r="AU87" i="1"/>
  <c r="AS87" i="1"/>
  <c r="AR85" i="1"/>
  <c r="AR84" i="1"/>
  <c r="AS83" i="1"/>
  <c r="AR81" i="1"/>
  <c r="AS80" i="1"/>
  <c r="AR80" i="1"/>
  <c r="AS78" i="1"/>
  <c r="AR78" i="1"/>
  <c r="AU76" i="1"/>
  <c r="AT74" i="1"/>
  <c r="F44" i="1"/>
  <c r="F43" i="1"/>
  <c r="F42" i="1"/>
  <c r="F41" i="1"/>
  <c r="F40" i="1"/>
  <c r="F39" i="1"/>
  <c r="F38" i="1"/>
  <c r="F37" i="1"/>
  <c r="F33" i="1"/>
  <c r="AO125" i="1" l="1"/>
  <c r="AO156" i="1" s="1"/>
  <c r="U16" i="1"/>
  <c r="K16" i="1" s="1"/>
  <c r="AA16" i="1"/>
  <c r="AK74" i="1"/>
  <c r="AK156" i="1" s="1"/>
  <c r="AR149" i="1"/>
  <c r="AR97" i="1"/>
  <c r="AW117" i="1"/>
  <c r="AS127" i="1"/>
  <c r="AR128" i="1"/>
  <c r="AV87" i="1"/>
  <c r="AW145" i="1"/>
  <c r="AV154" i="1"/>
  <c r="AT112" i="1"/>
  <c r="AW133" i="1"/>
  <c r="AV148" i="1"/>
  <c r="AW118" i="1"/>
  <c r="AT87" i="1"/>
  <c r="AS109" i="1"/>
  <c r="AR112" i="1"/>
  <c r="AT129" i="1"/>
  <c r="AR155" i="1" l="1"/>
  <c r="AR156" i="1" s="1"/>
  <c r="B171" i="1" l="1"/>
  <c r="AU125" i="1"/>
</calcChain>
</file>

<file path=xl/sharedStrings.xml><?xml version="1.0" encoding="utf-8"?>
<sst xmlns="http://schemas.openxmlformats.org/spreadsheetml/2006/main" count="4869" uniqueCount="590">
  <si>
    <t>Tabel 7.1</t>
  </si>
  <si>
    <t xml:space="preserve">KECAMATAN PADANG PANJANG TIMUR KOTA PADANG PANJANG TAHUN </t>
  </si>
  <si>
    <t>TUJUAN</t>
  </si>
  <si>
    <t>SASARAN</t>
  </si>
  <si>
    <t>PROGRAM/KEGIATAN/SUB KEGIATAN</t>
  </si>
  <si>
    <t>KECAMATAN PADANG PANJANG TIMUR</t>
  </si>
  <si>
    <t>KEC PPT</t>
  </si>
  <si>
    <t>AWAL</t>
  </si>
  <si>
    <t>Meningkatkan peran serta kelompok/lembaga masyarakat dalam pembangunan</t>
  </si>
  <si>
    <t>BELANJA TIDAK LANGSUNG</t>
  </si>
  <si>
    <t>Belanja Pegawai (Gaji dan TPP)</t>
  </si>
  <si>
    <t>Jumlah ASN yang dibayarkan Gaji dan Tunjangan</t>
  </si>
  <si>
    <t>BELANJA  LANGSUNG</t>
  </si>
  <si>
    <t>PROGRAM PELAYANAN ADMINISTRASI PERKANTORAN</t>
  </si>
  <si>
    <t>Persentase pemenuhan layanan administrasi perkantoran</t>
  </si>
  <si>
    <t>Penyediaan Jasa Surat Menyurat</t>
  </si>
  <si>
    <t>Jumlah jenis materai</t>
  </si>
  <si>
    <t>Penyediaan Jasa Komunikasi,Sumber Daya Air dan Listrik</t>
  </si>
  <si>
    <t>Jumlah rekening tagihan yg dibayarkan</t>
  </si>
  <si>
    <t>Penyediaan Jasa Pemeliharaan dan Perizinan Kendaraan Dinas/Operasional</t>
  </si>
  <si>
    <t>Jumlah kend dinas yg dipelihara</t>
  </si>
  <si>
    <t>Penyediaan Jasa Kebersihan Kantor</t>
  </si>
  <si>
    <t>jumlah tenaga kebersihan kantor yg dibayarkan gajinya, jumlah peralatan kebersihan kantor yang disediakan</t>
  </si>
  <si>
    <t>Penyediaan Alat Tulis Kantor</t>
  </si>
  <si>
    <t>jumlah jenis alat tulis kantor yang disediakan</t>
  </si>
  <si>
    <t>Penyediaan Barang Cetakan dan Penggandaan</t>
  </si>
  <si>
    <t>jumlah cetak dan penggandaan yg disediakan</t>
  </si>
  <si>
    <t>Penyediaan Komponen Instalasi Listrik / Penerangan Bangunan Kantor</t>
  </si>
  <si>
    <t>jumlah jenis alat-alat listrik yang disediakan</t>
  </si>
  <si>
    <t>Penyediaan Makanan dan Minuman</t>
  </si>
  <si>
    <t>jumlah makan dan minuman yang disediakan</t>
  </si>
  <si>
    <t>Penyediaan Jasa Tenaga Administrasi / Teknis Perkantoran</t>
  </si>
  <si>
    <t>jumlah tenaga honorer dan operator yang dibayarkan gajinya</t>
  </si>
  <si>
    <t xml:space="preserve">Rapat-Rapat Koordinasi dan Konsultasi Ke Luar Daerah </t>
  </si>
  <si>
    <t>jumlah rapat-rapat dan koordinasi yang dilaksanakan</t>
  </si>
  <si>
    <t>PROGRAM PENINGKATAN SARANA DAN PRASARANA APARATUR</t>
  </si>
  <si>
    <t>Persentase pemenuhan urusan penunjang yang dipenuhi</t>
  </si>
  <si>
    <t>jumlah pengadaan kendaraan dinas yang diadakan</t>
  </si>
  <si>
    <t>-</t>
  </si>
  <si>
    <t>Pengadaan Perlengkapan Gedung Kantor</t>
  </si>
  <si>
    <t>jumlah pengadaan perlengkapan gedung kantor yang diadakan</t>
  </si>
  <si>
    <t>Pemeliharaan Rutin / Berkala Gedung Kantor</t>
  </si>
  <si>
    <t>jumlah gedung yang dipelihara</t>
  </si>
  <si>
    <t>Pemeliharaan Rutin / Berkala Alat-Alat Kantor</t>
  </si>
  <si>
    <t>jumlah alat-alat kantor yang dipelihara</t>
  </si>
  <si>
    <t>jumlah gedung yang direhab</t>
  </si>
  <si>
    <t>Peningkatan kapasitas sumber daya aparatur</t>
  </si>
  <si>
    <t>jumlah bimtek yg diikuti</t>
  </si>
  <si>
    <t>Pennigkatan pengembangan sistem perencanaa dan kinerja pelaporan keuangan</t>
  </si>
  <si>
    <t>Meningkatnya Pelaksanaan SATIMISAKE</t>
  </si>
  <si>
    <t>Program Penyelenggaraan Pemerintahan Kecamatan/Kelurahan</t>
  </si>
  <si>
    <t>Cakupan layanan Kecamatan-Kelurahan</t>
  </si>
  <si>
    <t>Kegiatan Pembinaan Usaha Kesehatan Sekolah (UKS)</t>
  </si>
  <si>
    <t>Terpilihnya pemenang lomba sekolah seahat</t>
  </si>
  <si>
    <t>Kegiatan Peningkatan Kerjasama dengan Aparat Keamanan dalam Teknik Pencegahan Kejahatan (FKPM)</t>
  </si>
  <si>
    <t>Jumlah kerjasama dengan aparat keamanan dalam pencegahan kejahatan yang dilakukan</t>
  </si>
  <si>
    <t>Kegiatan Peringatan HUT RI dan HUT Kota</t>
  </si>
  <si>
    <t>Jumlah peringatan HUT RI dan HUT Kota yang dilaksanankan</t>
  </si>
  <si>
    <t>Kegiatan Operasional Sistem Informasi Pelayanan Publik</t>
  </si>
  <si>
    <t>Implementasi dan Sosialisasi aplikasi e Kecamatan dan e Kelurahan</t>
  </si>
  <si>
    <t>Kegiatan Forum Koordinasi dan Diskusi Pimpinan Tentang Masalah Kedinasan Kamtibmas di Kecamatan</t>
  </si>
  <si>
    <t>Jumlah Forum Komunikasi dan Koordinasi Kedinasan Camat tentang masalah Kamtibmas di Kecamatan yang dilaksanakan</t>
  </si>
  <si>
    <t>Operasional Persampahan, Pengawasan dan Pemeliharaan Fasilitas Umum</t>
  </si>
  <si>
    <t>Jumlah Kelurahan yang di Pelihara Kebersihan</t>
  </si>
  <si>
    <t>Program Peningkatan Partisipasi dan Pemberdayaan Masyarakat Kecamatan/Kelurahan</t>
  </si>
  <si>
    <t>Tingkat partisipasi dan pemberdayaan masyarakat Kecamtan/kelurahan</t>
  </si>
  <si>
    <t>Monitoring Evaluasi dan BBGRM</t>
  </si>
  <si>
    <t>Terlaksananya kegiatan BBGRM tingkat Kecamatan</t>
  </si>
  <si>
    <t>Kegiatan Pembinaan dan Penyelenggaraan Kegiatan Posyandu</t>
  </si>
  <si>
    <t>Jumlah Kader Posyandu yang dibina dan Jumlah Pemenang Lomba Kader Posyandu TK Kecamatan</t>
  </si>
  <si>
    <t>Kegiatan Pembinaan dan Penyelenggaraan Kegiatan Dasa Wisma</t>
  </si>
  <si>
    <t>Jumlah Kader Dasawisma yang dibina dan Jumlah Pemenang Lomba Kader Dasawisma TK Kecamatan</t>
  </si>
  <si>
    <t>Kegiatan Lomba HKG PKK KB Kes</t>
  </si>
  <si>
    <t>Jumlah Pemenang Lomba HKGPKKKBKes Tk Kecamatan</t>
  </si>
  <si>
    <t>Kegiatan Pemberdayaan Lembaga Organisasi Masyarakat Kelurahan/Pedesaaan Melaui Kegiatan RT</t>
  </si>
  <si>
    <t>Jumlah Penyediaan Operasional dan Seragam RT</t>
  </si>
  <si>
    <t>Kegiatan Pemberdayaan Lembaga Organisasi Masyarakat Kelurahan/Pedesaaan Melalui Kegiatan Lembaga Pemberdayaan Masyarakat (LPM)</t>
  </si>
  <si>
    <t>Jumlah Lembaga Organisasi Masyarakat Kelurahan yang dapat diberdayakan</t>
  </si>
  <si>
    <t>Kegiatan Pemberdayaan Posyantek Kecamatan</t>
  </si>
  <si>
    <t>Jumlah Posyantek yang di Fasilitasi</t>
  </si>
  <si>
    <t>Kegiatan Pemberdayaan Kesejahteraan Keluarga (PKK)</t>
  </si>
  <si>
    <t>Jumlah PKK Yang Diberdayakan</t>
  </si>
  <si>
    <t>Forum Komunikasi Kecamatan/Kelurahan Sehat</t>
  </si>
  <si>
    <t>Jumlah Forum Komunikasi Kecamatan Sehat yang dilaksanakan</t>
  </si>
  <si>
    <t>Fasilitasi Penyelenggaraan Lomba Pemberdayaan Masyarakat</t>
  </si>
  <si>
    <t>Jumlah Kelurahan yang Berprestasi</t>
  </si>
  <si>
    <t>Lomba Pendamping KUBE FM</t>
  </si>
  <si>
    <t>Jumlah kelompok KUBE yang dinilai</t>
  </si>
  <si>
    <t>Penyelenggaraan Musrenbang Kecamatan/Kelurahan</t>
  </si>
  <si>
    <t>Jumlah Kegiatan Musrenbang Kecamatan /Kelurahan yang dilaksanakan</t>
  </si>
  <si>
    <t>Pembangunan Sarana Prasarana Kelurahan</t>
  </si>
  <si>
    <t>Jumlah sarana prasarana di kelurahan yang dilaksanakan</t>
  </si>
  <si>
    <t>Pemberdayaan Masyarakat di Kelurahan</t>
  </si>
  <si>
    <t xml:space="preserve">Jumlah kegiatan pelatihan yang dilaksanakan </t>
  </si>
  <si>
    <t>Peningkatan Kerukunan dan Kehidupan Beragama</t>
  </si>
  <si>
    <t>Jumlah Kegiatan MTQ dan kegiatan Ramadhan yang Dilaksanakan</t>
  </si>
  <si>
    <t>Pemberdayaan Lembaga Organisasi Masyarakat Kelurahan melalui Kegiatan Karang Taruna</t>
  </si>
  <si>
    <t>Jumlah Lembaga Karang Taruna yang terfasilitasi</t>
  </si>
  <si>
    <t>Pelaksanaan Percepatan Pembangunan Dan Pemberdayaan Masyarakat Kelurahan Sektor  Fisik</t>
  </si>
  <si>
    <t>Pelaksanaan Percepatan Pembangunan Dan Pemberdayaan Masyarakat Kelurahan Sektor Non Fisik</t>
  </si>
  <si>
    <t>PERUBAHAN</t>
  </si>
  <si>
    <t>Meningkatnya partisipasi masyarakat dalam pembangunan kecamatan dan kelurahan</t>
  </si>
  <si>
    <t>Meningkatnya kualitas layanan publik yang transparan dan akuntabel di kecamatan dan kelurahan</t>
  </si>
  <si>
    <t>Nilai Survey Kepuasan Masyarakat</t>
  </si>
  <si>
    <t>PROGRAM PENUNJANG URUSAN PEMERINTAHAN DAERAH KABUPATEN/KOTA</t>
  </si>
  <si>
    <t xml:space="preserve">Administrasi Keuangan Perangkat Daerah </t>
  </si>
  <si>
    <t>Persentase Layanan Keuangan Perangkat Daerah</t>
  </si>
  <si>
    <t>Penyediaan Gaji dan Tunjangan ASN</t>
  </si>
  <si>
    <t xml:space="preserve">Administrasi Kepegawaian Perangkat Daerah </t>
  </si>
  <si>
    <t>Persentase pemenuhan layanan kepegawaian</t>
  </si>
  <si>
    <t>Pengadaan    Pakaian    Dinas    Beserta    Atribut Kelengkapannya</t>
  </si>
  <si>
    <t>Jumlah pakaian dinas beserta perlengkapannya yang tersedia</t>
  </si>
  <si>
    <t xml:space="preserve">Administrasi Umum Perangkat Daerah </t>
  </si>
  <si>
    <t>Penyediaan Komponen Instalasi Listrik/ Penerangan Bangunan Kantor</t>
  </si>
  <si>
    <t>Jumlah jenis komponen listrik yang disediakan</t>
  </si>
  <si>
    <t>Penyediaan Bahan Logistik Kantor</t>
  </si>
  <si>
    <t>Jumlah jenis alat tulis kantor dan peralatan kebersihan kantor yang disediakan</t>
  </si>
  <si>
    <t>Jumlah Retribusi sampah yang dibayarkan di kelurahan dan kecamatan</t>
  </si>
  <si>
    <t>Penyediaan Bahan Cetakan dan Penggandaan</t>
  </si>
  <si>
    <t>Jumlah Jenis barang cetakan dan penggandaan yang disediakan</t>
  </si>
  <si>
    <t>Penyelenggaraan Rapat Koordinasi dan Konsultasi SKPD</t>
  </si>
  <si>
    <t>Jumlah rapat koordinasi dan konsultasi yang di ikuti</t>
  </si>
  <si>
    <t>Jumlah makanan dan minuman rapat yang disediakan</t>
  </si>
  <si>
    <t>Pengadaan Barang Milik Daerah Penunjang Urusan Pemerintah Daerah</t>
  </si>
  <si>
    <t>Persentase pemenuhan sarana dan prasarana aparatur</t>
  </si>
  <si>
    <t xml:space="preserve">Pengadaan  Kendaraan  Perorangan Dinas atau Kendaraan Dinas Jabatan  </t>
  </si>
  <si>
    <t>Jumlah kendaraan dinas yang disediakan</t>
  </si>
  <si>
    <t>Pengadaan  Kendaraan  Dinas  Operasional  atau Lapangan</t>
  </si>
  <si>
    <t>Pengadaan Peralatan dan Mesin Lainnya</t>
  </si>
  <si>
    <t>Jumlah peralatan dan mesin  yang disediakan</t>
  </si>
  <si>
    <t>Pengadaan Gedung Kantor atau Bangunan Lainnya</t>
  </si>
  <si>
    <t>Jumlah gedung kantor yang diadakan (mushola kantor camat)</t>
  </si>
  <si>
    <t>Penyediaan Jasa Penunjang Urusan Pemerintahan Daerah</t>
  </si>
  <si>
    <t>Persentase capaian penyediaan jasa penunjang pemerintah daerah</t>
  </si>
  <si>
    <t xml:space="preserve">Penyediaan Jasa Surat Menyurat </t>
  </si>
  <si>
    <t>Jumlah jenis jasa surat menyuarat yang disediakan</t>
  </si>
  <si>
    <t>Penyediaan Jasa Komunikasi, Sumber daya Air dan Listrik</t>
  </si>
  <si>
    <t>Jumlah tagihan rekening  yang dibayarkan</t>
  </si>
  <si>
    <t xml:space="preserve">Penyediaan Jasa Pelayanan Umum Kantor </t>
  </si>
  <si>
    <t>Jumlah Tenaga Harian Lepas yang dibayarkan, Jumlah Tenaga Honorer yang dibayarkan</t>
  </si>
  <si>
    <t>Pemeliharaan Barang Milik Daerah Penunjang Urusan Pemerintahan Daerah</t>
  </si>
  <si>
    <t xml:space="preserve">Persentase capaian pemeliharaan barang milik daerah </t>
  </si>
  <si>
    <t xml:space="preserve">Penyediaan Jasa Pemeliharaan, Biaya Pemeliharaan Pajak dan Kendaraan Perorangan Dinas atau Operasional atau Kendaraan Dinas Jabatan </t>
  </si>
  <si>
    <t>Jumlah kendaraan dinas yang dipelihara</t>
  </si>
  <si>
    <t xml:space="preserve">Penyediaan Jasa Pemeliharaan, Biaya Pemeliharaan Pajak dan Kendaraan Dinas Pemeliharaan Pajak dan Kendaraan Dinas Operasional atau Lapangan </t>
  </si>
  <si>
    <t>Pemeliharaan Peralatan dan Mesin Lainnya</t>
  </si>
  <si>
    <t>Jumlah peralatan dan mesin yang dipelihara (thn 2021 termasuk gedung 7 unit)</t>
  </si>
  <si>
    <t xml:space="preserve">100,  7 </t>
  </si>
  <si>
    <t>Pemeliharaan/Rehabilitasi Gedung Kantor dan Bangunan Lainnya</t>
  </si>
  <si>
    <t>jumlah gedung kantor dan bangunan lainnya yang terpelihara (hanya 2 unit pemel gdg kel ngalau dan ktr camat th 2021)</t>
  </si>
  <si>
    <t>TPL</t>
  </si>
  <si>
    <t>PROGRAM PENYELENGGARAAN PEMERINTAHAN DAN PELAYANAN PUBLIK</t>
  </si>
  <si>
    <t>Persentase Tingkat Layanan</t>
  </si>
  <si>
    <t>Kec PPT</t>
  </si>
  <si>
    <t xml:space="preserve">Koordinasi Penyelenggaraan Kegiatan Pemerintahan di Tingkat Kecamatan </t>
  </si>
  <si>
    <t>Jumlah koordinasi yang dilaksanakan ditingkat kecamatan</t>
  </si>
  <si>
    <t>Koordinasi/Sinergi Perencanaan dan Pelaksanaan Kegiatan Pemerintahan dengan Perangkat Daerah dan Instansi Vertikal Terkait</t>
  </si>
  <si>
    <t>Jumlah kelurahan pelayanan persampahan yang dilakukan (kel ganting)</t>
  </si>
  <si>
    <t>Jumlah petugas persampahan yang dibayarkan gajinya</t>
  </si>
  <si>
    <t>jumlah sarana persampahan yg dipelihara</t>
  </si>
  <si>
    <t xml:space="preserve">Peningkatan Efektifitas Kegiatan Pemerintahan ditingkat Kecamatan </t>
  </si>
  <si>
    <t xml:space="preserve">Jumlah peserta sosialisasi pelayanan </t>
  </si>
  <si>
    <t xml:space="preserve">Koordinasi Pemeliharaan Prasarana dan Sarana Pelayanan umum </t>
  </si>
  <si>
    <t>Jumlah Rapat Koordinasi Layanan Persampahan</t>
  </si>
  <si>
    <t>Koordinasi/Sinergi dengan Perangkat Daerah dan/atau Instansi Vertikal yang Terkait dalam Pemeliharaan Sarana dan Prasarana Pelayanan Umum</t>
  </si>
  <si>
    <t>Jumlah kelurahan yang menerima pelayanan persampahan (untuk anggaran 2021 7 kel)</t>
  </si>
  <si>
    <t>Pelaksanaan Urusan Pemerintahan yang Dilimpahkan Kepada Camat</t>
  </si>
  <si>
    <t>Jumlah Urusan Pemerintahan yang dilimpahkan</t>
  </si>
  <si>
    <t>Pelaksanaan Urusan Pemerintahan yang Terkait dengan Kewenangan Lain yang Dilimpahkan</t>
  </si>
  <si>
    <t>Jumlah Forum Komunikasi Kecamatan dan Pokja Sehat</t>
  </si>
  <si>
    <t>Jumlah Lembaga PKK yang diberdayakan</t>
  </si>
  <si>
    <t>Jumlah Kegiatan lembaga Karang Taruna yang dilaksanakan</t>
  </si>
  <si>
    <t xml:space="preserve"> Jumlah Honor Kader Posyandu yang dibayarkan honornya</t>
  </si>
  <si>
    <t xml:space="preserve"> Jumlah Honor Kader Dasawisma yang dibayarkan honornya</t>
  </si>
  <si>
    <t>Jumlah tingkatan Sekolah yang dibina dan pemenang LSS tingkat kecamatan</t>
  </si>
  <si>
    <t>Jumlah kegiatan yang diperlombakan oleh KKG PKK KB Kes</t>
  </si>
  <si>
    <t>Jumlah Pemenang KUBE FM</t>
  </si>
  <si>
    <t>Jumlah kegiatan Forum Anak yang terfasilitasi</t>
  </si>
  <si>
    <t>Jumlah kegiatan Forum Literasi yang terfasilitasi</t>
  </si>
  <si>
    <t>Jumlah Himpaudi yang diFasilitasi</t>
  </si>
  <si>
    <t>PROGRAM PEMBERDAYAAN MASYARAKAT DESA DAN KELURAHAN</t>
  </si>
  <si>
    <t>Koordinasi Kegiatan Pemberdayaan Desa</t>
  </si>
  <si>
    <t>Jumlah kegiatan pemberdayaan desa/kelurahan yang dilaksanakan</t>
  </si>
  <si>
    <t>Peningkatan Partisipasi Masyarakat dalam Forum Musyawarah Perencanaan Pembangunan di Desa</t>
  </si>
  <si>
    <t>Jumlah kegiatan pemberdayaan desa/kelurahan yang dilaksanakan (musrenbang 8 kel)</t>
  </si>
  <si>
    <t>8 keg</t>
  </si>
  <si>
    <t>Pemberdayaan Kelurahan</t>
  </si>
  <si>
    <t>Jumlah jenis pemberdayaan kelurahan yang dilaksanakan</t>
  </si>
  <si>
    <t xml:space="preserve">Peningkatan Partisipasi Masyarakat dalam Forum Musyawarah Perencanaan Pembangunan di Kelurahan </t>
  </si>
  <si>
    <t>Jumlah Mursenbang yang dilaksanakan (untuk anggaran 2021 hanya musren kec)</t>
  </si>
  <si>
    <t>Pembangunan Sarana dan Prasarana Kelurahan</t>
  </si>
  <si>
    <t>Jumlah kegiatan sarana prasarana yang dilaksanakan (untuk 2021 keg pengadaan alat studio ganting TV)</t>
  </si>
  <si>
    <t>Jumlah peserta yang dilatih</t>
  </si>
  <si>
    <t>Jumlah lembaga LPM yang diberdayakan</t>
  </si>
  <si>
    <t>Jumlah monitoring, evaluasi dan penilaian BBGRM yang dilaksanakan</t>
  </si>
  <si>
    <t>Jumlah pemenang lomba kelurahan berprestasi</t>
  </si>
  <si>
    <t>Jumlah Lembaga Posyantek yang diberdayakan</t>
  </si>
  <si>
    <t>Jumlah lembaga Forum Peningkatan Konsumsi Ikan (Forikan) yg dilaksanakan</t>
  </si>
  <si>
    <t>Pemberdayaan Lembaga Kemasyarakatan Tingkat Kecamatan</t>
  </si>
  <si>
    <t>Penyelenggaraan Lembaga Kemasyarakatan</t>
  </si>
  <si>
    <t>Jumlah jenis kegiatan RT yang dilaksanakan (untuk 2021 termasuk LPM)</t>
  </si>
  <si>
    <t>PROGRAM KOORDINASI KETENTRAMAN DAN KETERTIBAN UMUM</t>
  </si>
  <si>
    <t>Angka Tingkat Pelanggaran Ketentraman dan Ketertiban Umum</t>
  </si>
  <si>
    <t>Koordinasi Upaya Penyelenggaraan Ketentraman dan Ketertiban Umum</t>
  </si>
  <si>
    <t>Jumlah Jenis Kegiatan Koordinasi Trantib</t>
  </si>
  <si>
    <t>Sinergitas dengan Kepolisian Negara Republik Indonesia, Tentara Nasional Indonesia dan Instansi Vertikal di Wilayah Kecamatan</t>
  </si>
  <si>
    <t>Jumlah Rapat-rapat FKPM yang dilaksanakan di kecamatan dan kelurahan</t>
  </si>
  <si>
    <t>monev</t>
  </si>
  <si>
    <t>mami</t>
  </si>
  <si>
    <t>Jumlah Monev yg dilaksanakan oleh FKPM</t>
  </si>
  <si>
    <t>Jumlah Posko Satgas Covid-19 yang di fasilitasi</t>
  </si>
  <si>
    <t>rapat</t>
  </si>
  <si>
    <t>PROGRAM PENYELENGGARAAN URUSAN PEMERINTAHAN UMUM</t>
  </si>
  <si>
    <t>Penyelenggaraan Urusan Pemerintahan Umum Sesuai Penugasan Kepala Daerah</t>
  </si>
  <si>
    <t>Jumlah Urusan Pemerintahan umum yang dilaksanakan sesuai penugasan kepala daerah</t>
  </si>
  <si>
    <t>Pembinaan Kerukunan Antarsuku dan Intrasuku, Umat Beragama, Ras dan Golongan Lainnya Guna Mewujudkan Stabilitas dan NasionalKeamanan Lokal, Regional</t>
  </si>
  <si>
    <t>Jumlah Mushalla yang dikunjungi oleh Tim Ramadhan Kecamatan</t>
  </si>
  <si>
    <t>Jumlah cabang MTQ yang diperlombakan</t>
  </si>
  <si>
    <t>Pelaksanaan Tugas Forum Koordinasi Pimpinan di Kecamatan</t>
  </si>
  <si>
    <t xml:space="preserve">Jumlah Rapat yang dilaksanakan oleh Forum Koordinasi dan Diskusi Pimpinan  Kecamatan </t>
  </si>
  <si>
    <t>Jumlah Peringatan Hari Besar yang dilaksanakan (HUT RI dan HUT Kota)</t>
  </si>
  <si>
    <t>CATATAN :</t>
  </si>
  <si>
    <t xml:space="preserve">RENSTRA 2023 </t>
  </si>
  <si>
    <t>Penjelasan :</t>
  </si>
  <si>
    <t>- Kantor Camat PPT</t>
  </si>
  <si>
    <t>- Kantor Lurah TPL</t>
  </si>
  <si>
    <t>Total</t>
  </si>
  <si>
    <t xml:space="preserve">INDIKATOR KINERJA </t>
  </si>
  <si>
    <t>DATA CAPAIAN PADA AWAL TAHUN PERENCANAAN</t>
  </si>
  <si>
    <t>K</t>
  </si>
  <si>
    <t>Rp.</t>
  </si>
  <si>
    <t>TARGET RENSTRA PERANGKAT DAERAH KABUPATEN/KOTA TAHUN KE-</t>
  </si>
  <si>
    <t>REALISASI CAPAIAN TAHUN KE-</t>
  </si>
  <si>
    <t>RASIO CAPAIAN TAHUN KE-</t>
  </si>
  <si>
    <t>UNIT PENANGGUNG JAWAB</t>
  </si>
  <si>
    <t>NO</t>
  </si>
  <si>
    <t>FOMULIR E.80</t>
  </si>
  <si>
    <t>EVALUASI TERHADAP RENSTRA PERANGKAT DAERAH LINGKUP KABUPATEN/KOTA</t>
  </si>
  <si>
    <t>RENSTRA KECAMATAN PADANG PANJANG TIMUR KOTA PADANG PANJANG</t>
  </si>
  <si>
    <t>Meningkatnya layanan publik yang transparan dan akuntable</t>
  </si>
  <si>
    <t>TARGET CAPAIAN PADA AKHIR TAHUN PERENCANAAN</t>
  </si>
  <si>
    <t>76 orang</t>
  </si>
  <si>
    <t>10 jenis</t>
  </si>
  <si>
    <t>40 jenis</t>
  </si>
  <si>
    <t xml:space="preserve">9 jenis </t>
  </si>
  <si>
    <t>40kali</t>
  </si>
  <si>
    <t>1 kegiatan</t>
  </si>
  <si>
    <t>1 jenis</t>
  </si>
  <si>
    <t>34 tagihan rekening</t>
  </si>
  <si>
    <t>35 orang</t>
  </si>
  <si>
    <t>100,  7 unit</t>
  </si>
  <si>
    <t>12 kali</t>
  </si>
  <si>
    <t>1  kelurahan</t>
  </si>
  <si>
    <t>6 orang</t>
  </si>
  <si>
    <t>1 unit</t>
  </si>
  <si>
    <t>30 orang</t>
  </si>
  <si>
    <t>48 kali</t>
  </si>
  <si>
    <t>7 kelurahan</t>
  </si>
  <si>
    <t>42 orang</t>
  </si>
  <si>
    <t>7 unit</t>
  </si>
  <si>
    <t>8 urusan</t>
  </si>
  <si>
    <t>9 lembaga</t>
  </si>
  <si>
    <t>4 keg</t>
  </si>
  <si>
    <t>190 orang</t>
  </si>
  <si>
    <t>281 orang</t>
  </si>
  <si>
    <t>4 tingkatan, 12 pemenang</t>
  </si>
  <si>
    <t>3 keg</t>
  </si>
  <si>
    <t>3 pemenang</t>
  </si>
  <si>
    <t>7 jenis</t>
  </si>
  <si>
    <t>1 keg</t>
  </si>
  <si>
    <t>160 orang</t>
  </si>
  <si>
    <t>103 RT</t>
  </si>
  <si>
    <t>6 keg</t>
  </si>
  <si>
    <t>20 lap</t>
  </si>
  <si>
    <t>2 jenis</t>
  </si>
  <si>
    <t>108 kali</t>
  </si>
  <si>
    <t>49 kali</t>
  </si>
  <si>
    <t>9 posko</t>
  </si>
  <si>
    <t>8 mushalla</t>
  </si>
  <si>
    <t>4 kali</t>
  </si>
  <si>
    <t>2 hari besar</t>
  </si>
  <si>
    <t>78 orang</t>
  </si>
  <si>
    <t>1250 ok</t>
  </si>
  <si>
    <t>8 unit</t>
  </si>
  <si>
    <t>36 orang</t>
  </si>
  <si>
    <t>100 unit</t>
  </si>
  <si>
    <t>10 unit</t>
  </si>
  <si>
    <t>8 kelurahan</t>
  </si>
  <si>
    <t>48 orang</t>
  </si>
  <si>
    <t>11 urusan</t>
  </si>
  <si>
    <t>290 orang</t>
  </si>
  <si>
    <t>1 lembaga</t>
  </si>
  <si>
    <t>8 jenis</t>
  </si>
  <si>
    <t>9 keg</t>
  </si>
  <si>
    <t>250 orang</t>
  </si>
  <si>
    <t>106 RT</t>
  </si>
  <si>
    <t>10 lap</t>
  </si>
  <si>
    <t>54 kali</t>
  </si>
  <si>
    <t>Rata-rata Capaian Kinerja (%)</t>
  </si>
  <si>
    <t>Predikat Kinerja</t>
  </si>
  <si>
    <t>Faktor Pendorong Pencapaian Kinerja :</t>
  </si>
  <si>
    <t>Faktor Penghambat :</t>
  </si>
  <si>
    <t>Usulan Tindak Lanjut pada Renja Perangkat Daerah Kabupaten/Kota berikutnya :</t>
  </si>
  <si>
    <t>Usulan Tindak Lanjut pada Renstra Perangkat Daerah Kabupaten/Kota berikutnya :</t>
  </si>
  <si>
    <t>1.         Perlu peningkatan kualitas SDM/personil di Kecamatan maupun di tingkat Kelurahan melalui bimtek/diklat</t>
  </si>
  <si>
    <t>1.         Belum optimalnya  kualitas SDM/personil pada Kecamatan Padang Panjang Timur</t>
  </si>
  <si>
    <t xml:space="preserve">4.         Keterbatasan Anggaran untuk peningkatan sarana prasarana dikarenakan refocusing anggaran </t>
  </si>
  <si>
    <t>f.          Evaluasi capaian kinerja yang dilakukan secara formal maupun informal.</t>
  </si>
  <si>
    <t>e.        Koordinasi rutin tingkat Kecamatan dengan Forkopimca (forum koordinasi pimpinan tingkat kecamatan) setiap tiga bulan sekali (triwulan) mengenai ketenteraman dan ketertiban umum</t>
  </si>
  <si>
    <t>d.        Koordinasi rutin antara kelurahan dengan lembaga kemasyarakatan</t>
  </si>
  <si>
    <t>c.         Adanya komitmen pimpinan dan pegawai untuk melaksanakan tugas sesuai dengan tupoksinya masing-masing yang didukung dengan anggaran dan sarana prasarana yang ada</t>
  </si>
  <si>
    <t>b.        Sinergitas yang baik antara Kecamatan, Kelurahan dan Tokoh Masyarakat dalam pembangunan wilayah</t>
  </si>
  <si>
    <t xml:space="preserve">a.         Keberhasilan yang dicapai masing-masing kelurahan tidak lepas dari kerja keras, dukungan dan peran aktif dari seluruh elemen masyarakat </t>
  </si>
  <si>
    <t xml:space="preserve">       hal tersebut  dapat terlihat dari tingginya nilai pada indikator persentase partisipasi masyarakat dalam pembangunan kecamatan/kelurahan.</t>
  </si>
  <si>
    <t>5.         Penentuan target serta perencanaan anggaran yang kurang optimal dikarenakan masa pandemi semua dituntut untuk serba cepat</t>
  </si>
  <si>
    <t>2.         Menganggarkan peningkatan sarana prasarana pelayanan pada tahun berikutnya</t>
  </si>
  <si>
    <t>2.         Adanya gedung kantor yang belum memadai atau perlu direhabilitasi guna pelaksanaan pelayanan kepada masyarakat dapat terlaksana dengan baik</t>
  </si>
  <si>
    <t>3.         Menganggarkan perbaikan/rehabilitasi gedung kantor terutama Kantor Camat Padang Panjang Timur, Kantor Lurah Tanah Pak Lambik, Kantor Lurah Koto Katik di tahun berikutnya</t>
  </si>
  <si>
    <t>Indikator dan Target Kinerja Perangkat Daerah yang mengacu pada Sasaran Perubahan RPJMD Kota Padang Panjang :</t>
  </si>
  <si>
    <t>1. Persentase partisipasi masyarakat dalam pembangunan Kecamatan/Kelurahan</t>
  </si>
  <si>
    <t>2. Nilai Survey Kepuasan Masyarakat</t>
  </si>
  <si>
    <t xml:space="preserve">LAPORAN REALISASI ANGGARAN </t>
  </si>
  <si>
    <t>OPD KECAMATAN PADANG PANJANG TIMUR</t>
  </si>
  <si>
    <t>BULAN DESEMBER 2022</t>
  </si>
  <si>
    <t>Kode
Rekening</t>
  </si>
  <si>
    <t>Uraian</t>
  </si>
  <si>
    <t>Jumlah 
Anggaran</t>
  </si>
  <si>
    <t>SP2D UP / GU / TU / LS</t>
  </si>
  <si>
    <t>SPJ UP / GU / TU / LS</t>
  </si>
  <si>
    <t>Sisa Anggaran</t>
  </si>
  <si>
    <t>CP LS</t>
  </si>
  <si>
    <t xml:space="preserve">Sisa UYHD UP/GU/TU + CP </t>
  </si>
  <si>
    <t>Persentase  (%)</t>
  </si>
  <si>
    <t>s.d.
Bulan lalu</t>
  </si>
  <si>
    <t>Bulan ini</t>
  </si>
  <si>
    <t>s.d. 
Bulan ini</t>
  </si>
  <si>
    <t>1</t>
  </si>
  <si>
    <t>3</t>
  </si>
  <si>
    <t>4</t>
  </si>
  <si>
    <t>5</t>
  </si>
  <si>
    <t>6(4+5)</t>
  </si>
  <si>
    <t>7</t>
  </si>
  <si>
    <t>8</t>
  </si>
  <si>
    <t>9 (7+8)</t>
  </si>
  <si>
    <t>10 = 3-9</t>
  </si>
  <si>
    <t>11=(6-9)</t>
  </si>
  <si>
    <t>12=(6-9)</t>
  </si>
  <si>
    <t>13=9/3 X 100</t>
  </si>
  <si>
    <t>01</t>
  </si>
  <si>
    <t>BELANJA OPERASI</t>
  </si>
  <si>
    <t>02</t>
  </si>
  <si>
    <t xml:space="preserve">ADMINISTRASI KEUANGAN PERANGKAT DAERAH </t>
  </si>
  <si>
    <t xml:space="preserve">Belanja Pegawai </t>
  </si>
  <si>
    <t>Belanja Gaji dan Tunjangan ASN</t>
  </si>
  <si>
    <t>000</t>
  </si>
  <si>
    <t>Belanja Gaji Pokok ASN</t>
  </si>
  <si>
    <t>Belanja Tunjangan Keluarga ASN</t>
  </si>
  <si>
    <t>03</t>
  </si>
  <si>
    <t>Belanja Tunjangan Jabatan ASN</t>
  </si>
  <si>
    <t>05</t>
  </si>
  <si>
    <t>Belanja Tunjangan Fungsional Umum ASN</t>
  </si>
  <si>
    <t>06</t>
  </si>
  <si>
    <t>Belanja Tunjangan Beras ASN</t>
  </si>
  <si>
    <t>07</t>
  </si>
  <si>
    <t>Belanja Tunjangan PPh/Tunjangan Khusus ASN</t>
  </si>
  <si>
    <t>08</t>
  </si>
  <si>
    <t>Belanja Pembulatan Gaji ASN</t>
  </si>
  <si>
    <t>09</t>
  </si>
  <si>
    <t>Belanja Iuran Jaminan Kesehatan ASN</t>
  </si>
  <si>
    <t>Belanja Iuran Jaminan Kecelakaan Kerja ASN</t>
  </si>
  <si>
    <t>11</t>
  </si>
  <si>
    <t>Belanja Iuran Jaminan Kematian ASN</t>
  </si>
  <si>
    <t>Belanja Tambahan Penghasilan ASN</t>
  </si>
  <si>
    <t>Tambahan Penghasilan Berdasarkan Beban Kerja ASN</t>
  </si>
  <si>
    <t xml:space="preserve">ADMINISTRASI UMUM PERANGKAT DAERAH </t>
  </si>
  <si>
    <t xml:space="preserve">UANG PERSEDIAAN </t>
  </si>
  <si>
    <t xml:space="preserve">Penyediaan Komponen Instalasi Listrik/Penerangan Bangunan Kantor </t>
  </si>
  <si>
    <t>Belanja Barang dan Jasa</t>
  </si>
  <si>
    <t>Belanja Barang</t>
  </si>
  <si>
    <t>Belanja Barang Pakai Habis</t>
  </si>
  <si>
    <t>003</t>
  </si>
  <si>
    <t>Belanja Alat/Bahan Untuk Kegiatan Kantor-Alat Listrik</t>
  </si>
  <si>
    <t>04</t>
  </si>
  <si>
    <t xml:space="preserve">Penyediaan Bahan Logistik Kantor </t>
  </si>
  <si>
    <t>002</t>
  </si>
  <si>
    <t>Belanja Alat/Bahan Untuk Kegiatan Kantor-ATK</t>
  </si>
  <si>
    <t>Belanja Alat/Bahan Untuk Kegiatan Kantor-Kertas dan Cover</t>
  </si>
  <si>
    <t>Belanja Alat/Bahan Untuk Kegiatan Kantor-Bahan Cetak</t>
  </si>
  <si>
    <t>Belanja Alat/Bahan Untuk Kegiatan Kantor-Bahan Komputer</t>
  </si>
  <si>
    <t xml:space="preserve">Belanja Alat/Bahan Untuk Kegiatan Kantor-Perabot Kantor </t>
  </si>
  <si>
    <t xml:space="preserve">Belanja Alat/Bahan Untuk Kegiatan Kantor-Bahan untuk Kegiatan Kantor Lainnya </t>
  </si>
  <si>
    <t>Belanja Jasa</t>
  </si>
  <si>
    <t xml:space="preserve">Belanja Jasa Kantor </t>
  </si>
  <si>
    <t>005</t>
  </si>
  <si>
    <t xml:space="preserve">Belanja Jasa Pembersih, Pengendalian Hama dan Fumigasi </t>
  </si>
  <si>
    <t xml:space="preserve">Penyediaan Bahan Cetak dan Penggandaan </t>
  </si>
  <si>
    <t xml:space="preserve">Penyelenggaraan Rapat Koordinasi dan Konsultasi SKPD </t>
  </si>
  <si>
    <t>2</t>
  </si>
  <si>
    <t xml:space="preserve">Belanja Barang </t>
  </si>
  <si>
    <t xml:space="preserve">Belanja Makanan dan Minuman Rapat </t>
  </si>
  <si>
    <t>Belanja Perjalanan Dinas</t>
  </si>
  <si>
    <t xml:space="preserve">Belanja Perjalanan Dinas Dalam Negeri </t>
  </si>
  <si>
    <t>Belanja Perjalanan Dinas Biasa</t>
  </si>
  <si>
    <t xml:space="preserve">PENGADAAN BARANG MILIK DAERAH PENUNJANG URUSAN PEMERINTAH DAERAH </t>
  </si>
  <si>
    <t xml:space="preserve">Pengadaan Peralatan dan Mesin </t>
  </si>
  <si>
    <t xml:space="preserve">Tambahan Penghasilan berdasarkan Pertimbangan Objektif lainnya ASN </t>
  </si>
  <si>
    <t xml:space="preserve">Belanja Honorarium </t>
  </si>
  <si>
    <t xml:space="preserve">Belanja Honoraraium Pengadaan Barang/Jasa </t>
  </si>
  <si>
    <t xml:space="preserve">Belanja Modal </t>
  </si>
  <si>
    <t xml:space="preserve">Belanja Modal Peralatan dan Mesin </t>
  </si>
  <si>
    <t>10</t>
  </si>
  <si>
    <t xml:space="preserve">Belanja Modal Komputer </t>
  </si>
  <si>
    <t xml:space="preserve">Belanja Modal Komputer Unit </t>
  </si>
  <si>
    <t xml:space="preserve">Belanja Modal Personal Komputer </t>
  </si>
  <si>
    <t xml:space="preserve">PENYEDIAAN JASA PENUNJANG URUSAN PEMERINTAHAN DAERAH </t>
  </si>
  <si>
    <t>Belanja Alat/Bahan untuk Kegiatan Kantor-Benda Pos</t>
  </si>
  <si>
    <t xml:space="preserve">Penyediaan Jasa Komunikasi, Sumber Daya Air dan Listrik </t>
  </si>
  <si>
    <t xml:space="preserve">Belanja Jasa Pembersihan, Pengendalian Hama dan Fumigasi </t>
  </si>
  <si>
    <t xml:space="preserve">Belanja Tagihan Telepon </t>
  </si>
  <si>
    <t>006</t>
  </si>
  <si>
    <t>0</t>
  </si>
  <si>
    <t xml:space="preserve">Belanja Tagihan Air </t>
  </si>
  <si>
    <t xml:space="preserve">Belanja Tagihan Listrik </t>
  </si>
  <si>
    <t>Penyediaan Jasa Pelayanan Umum Kantor</t>
  </si>
  <si>
    <t xml:space="preserve">Belanja Jasa Tenaga Administrasi </t>
  </si>
  <si>
    <t xml:space="preserve">Belanja Jasa Tenaga Kebersihan </t>
  </si>
  <si>
    <t xml:space="preserve">Belanja Jasa Tenaga Keamanan </t>
  </si>
  <si>
    <t xml:space="preserve">Belanja Jasa Tenaga Sopir </t>
  </si>
  <si>
    <t xml:space="preserve">Belanja Iuran Jaminan/Asuransi </t>
  </si>
  <si>
    <t>6</t>
  </si>
  <si>
    <t xml:space="preserve">Belanja Iuran Jaminan Kecelakaan Kerja Bagi Non PNS </t>
  </si>
  <si>
    <t xml:space="preserve">Belanja Iuran Jaminan Kematian Bagi Non PNS </t>
  </si>
  <si>
    <t xml:space="preserve">PEMELIHARAAN BARANG MILIK DAERAH PENUNJANG URUSAN PEMERINTAHAN DAERAH </t>
  </si>
  <si>
    <t xml:space="preserve">Penyediaan Jasa Pemeliharaan, Biaya Pemeliharaan, Pajak dan Perizinan Kendaraan Dinas Operasional atau Lapangan </t>
  </si>
  <si>
    <t>Belanja Bahan-Bahan Bakar dan Pelumas</t>
  </si>
  <si>
    <t>Belanja Jasa Kalibrasi (KIR Kendaraan Oprs)</t>
  </si>
  <si>
    <t xml:space="preserve">Belanja Pembayaran Pajak, Bea dan Perizinan </t>
  </si>
  <si>
    <t xml:space="preserve">Belanja Pemeliharaan </t>
  </si>
  <si>
    <t xml:space="preserve">Belanja Pemeliharaan Peralatan dan Mesin </t>
  </si>
  <si>
    <t>Belanja Pemeliharaan Alat Angkutan - Alat Angkutan Darat Bermotor - Kendaraan Dinas Bermotor Perorangan</t>
  </si>
  <si>
    <t xml:space="preserve">Belanja Barang Pakai Habis </t>
  </si>
  <si>
    <t xml:space="preserve">Belanja Bahan Bakar dan Pelumas </t>
  </si>
  <si>
    <t>001</t>
  </si>
  <si>
    <t xml:space="preserve">Belanja Bahan-Isi Tabung Gas </t>
  </si>
  <si>
    <t>011</t>
  </si>
  <si>
    <t>Belanja Pemeliharaan Peralatan Kantor dan Rumah Tangga - Alat Kantor - Alat Kantor Lainnya</t>
  </si>
  <si>
    <t xml:space="preserve">Belanja Pemeliharaan Peralatan Kantor dan Rumah Tangga - Alat Rumah Tangga-Mebel </t>
  </si>
  <si>
    <t>012</t>
  </si>
  <si>
    <t xml:space="preserve">Belanja Pemeliharaan Peralatan Kantor dan Rumah Tangga -Meja dan Kursi Kerja/Rapat Pejabat-Meja Kerja Pejabat </t>
  </si>
  <si>
    <t>040</t>
  </si>
  <si>
    <t xml:space="preserve">Belanja Pemeliharaan Komputer - Komputer Unit - Personal Computer </t>
  </si>
  <si>
    <t>9</t>
  </si>
  <si>
    <t xml:space="preserve">Belanja Pemeliharaan Komputer - Peralatan Komputer - Peralatan Personal Komputer </t>
  </si>
  <si>
    <t xml:space="preserve">Pemeliharaan/Rehabilitasi Gedung Kantor dan Bangunan Lainnya </t>
  </si>
  <si>
    <t xml:space="preserve">Belanja Pemeliharaan Gedung dan Bangunan </t>
  </si>
  <si>
    <t xml:space="preserve">Belanja Pemeliharaan Bangunan Gedung - Bangunan Gedung Tempat Kerja - Bangunan Gedung Kantor </t>
  </si>
  <si>
    <t>KOORDINASI PEMELIHARAAN PRASARANA DAN SARANA PELAYANAN UMUM</t>
  </si>
  <si>
    <t xml:space="preserve">Koordinasi/Sinergi dengan Perangkat Daerah dan/atau Instansi Vertikal yang Terkait dalam Pemeliharaan Sarana dan Prasarana Pelayanan Umum (Persampahan+Bentor 8 Kel) </t>
  </si>
  <si>
    <t>Belanja Alat/Bahan Untuk Kegiatan Kantor-Alat/Bahan Untuk Kegiatan Kantor Lainnya</t>
  </si>
  <si>
    <t>Belanja Jasa Kantor</t>
  </si>
  <si>
    <t>Belanja Jasa Tenaga Kebersihan</t>
  </si>
  <si>
    <t>Belanja Iuran Jaminan Kecelakaan Kerja bagi Non ASN</t>
  </si>
  <si>
    <t>Belanja Iuran Jaminan Kematian bagi Non ASN</t>
  </si>
  <si>
    <t>Belanja Pemeliharaan</t>
  </si>
  <si>
    <t>Belanja Pemeliharaan Alat Angkutan-Alat angkutan Darat Bermotor-Kendaraan Bermotor Beroda Tiga</t>
  </si>
  <si>
    <t xml:space="preserve">PELAKSANAAN URUSAN PEMERINTAHAN YANG DILIMPAHKAN KEPADA CAMAT </t>
  </si>
  <si>
    <t>Pelaksanaan Urusan Pemeritahan yang Terkait  dengan Kewenangan Lain yang Dilimpahkan (KT, PKK,Dasawisma, FKKS,HKG PKK, Posyandu, UKS)</t>
  </si>
  <si>
    <t xml:space="preserve">Belanja Bahan-Bahan Lainnya </t>
  </si>
  <si>
    <t>Belanja Alat/Bahan Untuk Kegiatan Kantor-Sovenir/Cendera Mata</t>
  </si>
  <si>
    <t xml:space="preserve">Belanja Alat/Bahan Untuk Kegiatan Kantor-Alat/Bahan untuk Kegiatan Kantor Lainnya </t>
  </si>
  <si>
    <t xml:space="preserve">Belanja Makanan dan Minuman pada Fasilitas Pelayanan Urusan Kesehatan </t>
  </si>
  <si>
    <t>Belanja Makanan dan Minuman Aktivitas Lapangan</t>
  </si>
  <si>
    <t>007</t>
  </si>
  <si>
    <t xml:space="preserve">Belanja Pakaian Batik Tradisional </t>
  </si>
  <si>
    <t>Belanja Pakaian Olahraga</t>
  </si>
  <si>
    <t>Honorarium Narasumber atau Pembahas, Moderator, Pembawa Acara dan Panitia</t>
  </si>
  <si>
    <t xml:space="preserve">Honorarium Penyuluhan atau Pendampingan </t>
  </si>
  <si>
    <t xml:space="preserve">Belanja Jasa Tenaga Penanganan Sosial </t>
  </si>
  <si>
    <t>Belanja Jasa Juri Perlombaan/Pertandingan</t>
  </si>
  <si>
    <t>Belanja Sewa Kendaraan Bermotor Penumpang</t>
  </si>
  <si>
    <t>Belanja Sewa Alat Kantor Lainnya</t>
  </si>
  <si>
    <t>004</t>
  </si>
  <si>
    <t xml:space="preserve">Belanja Sewa Mess/Wisma/Bungalow/Tempat Peristirahatan </t>
  </si>
  <si>
    <t>Belanja Perjalanan Dinas Dalam Kota</t>
  </si>
  <si>
    <t>Belanja Uang dan/atau Jasa untuk Diberikan kepada Pihak Ketiga/Pihak Lain/Masyarakat</t>
  </si>
  <si>
    <t>Belanja Uang yang Diberikan kepada Pihak Ketiga/Pihak Lain/Masyarakat</t>
  </si>
  <si>
    <t>Belanja Hadiah yang Bersifat Perlombaan</t>
  </si>
  <si>
    <t>KEGIATAN PEMBERDAYAAN KELURAHAN</t>
  </si>
  <si>
    <t>Peningkatan Partisipasi Masyarakat dalam Forum Musyawarah Perencanaan Pembangunan di Kelurahan (Musrenbang)</t>
  </si>
  <si>
    <t xml:space="preserve">Belanja Barang dan Jasa </t>
  </si>
  <si>
    <t xml:space="preserve">Belanja Alat/Bahan Untuk Kegiatan Kantor-Bahan Cetak </t>
  </si>
  <si>
    <t xml:space="preserve">Belanja Alat/Bahan Untuk Kegiatan Kantor-Bahan Komputer </t>
  </si>
  <si>
    <t>Belanja Makanan dan Minuman Rapat</t>
  </si>
  <si>
    <t xml:space="preserve">Belanja Makanan dan Minuman Aktivitas Lapangan </t>
  </si>
  <si>
    <t xml:space="preserve">Honoraraium Tim Pelaksana Kegiatan dan Sekretariat Tim Pelaksanan Kegiatan </t>
  </si>
  <si>
    <t>Honorarium Penyuluh atau Pendamping</t>
  </si>
  <si>
    <t xml:space="preserve">Belanja Sewa Peralatan dan Mesin </t>
  </si>
  <si>
    <t xml:space="preserve">Belanja Sewa Alat Kantor Lainnya </t>
  </si>
  <si>
    <t>Pemberdayaan Masyarakat di Kelurahan (LPM, Posyantek, BBGRM, Kel. Berprestasi)</t>
  </si>
  <si>
    <t>Belanja Alat/Bahan Untuk Kegiatan Kantor- ATK</t>
  </si>
  <si>
    <t>Belanja Alat/Bahan Untuk Kegiatan Kantor- Kertas dan Cover</t>
  </si>
  <si>
    <t>Belanja Alat/Bahan Untuk Kegiatan Kantor- Bahan Cetak</t>
  </si>
  <si>
    <t xml:space="preserve">Belanja Alat/Bahan Untuk Kegiatan Kantor- Bahan Kamputer </t>
  </si>
  <si>
    <t>Belanja Alat/Bahan Untuk Kegiatan Kantor- Suvenir/Cendera Mata</t>
  </si>
  <si>
    <t>Belanja Alat/Bahan Untuk Kegiatan Kantor- Alat/Bahan untuk Kegiatan Kantor Lainnya</t>
  </si>
  <si>
    <t>Belanja Pakaian Batik Tradisional</t>
  </si>
  <si>
    <t xml:space="preserve">Belanja Jasa </t>
  </si>
  <si>
    <t xml:space="preserve">Honorarium Narasumber atau Pembahas, Moderator, Pembawa Acara dan Panitia </t>
  </si>
  <si>
    <t>Belanja Jasa Tenaga Kesenian dan Kebudayaan</t>
  </si>
  <si>
    <t>Belanja Jasa Tenaga Operator Komputer</t>
  </si>
  <si>
    <t>013</t>
  </si>
  <si>
    <t xml:space="preserve">Belanja Sewa Peralatan Studio Audio </t>
  </si>
  <si>
    <t>Belanja Hadiah yang Bersifat Perlombaab</t>
  </si>
  <si>
    <t xml:space="preserve">PEMBERDAYAAN LEMBAGA KEMASYARAKATAN TINGKAT KECAMATAN </t>
  </si>
  <si>
    <t>Penyelenggaraan Lembaga Kemasyarakatan (RT)</t>
  </si>
  <si>
    <t>Honorarium Penyuluhan atau Pendampingan</t>
  </si>
  <si>
    <t>PROGRAM KOORDINASI  KETENTRAMAN DAN KETERTIBAN UMUM</t>
  </si>
  <si>
    <t>KOORDINASI UPAYA PENYELENGGARAAN KETENTRAMAN DAN KETERTIBAN UMUM</t>
  </si>
  <si>
    <t>Sinergitas dengan Kepolisian Negara Republik Indonesia. Tentara Nasional Indonesia dan Instansi Vertikal di Wilayah Kecamatan (FKPM)</t>
  </si>
  <si>
    <t>Belanja Alat/Bahan Untuk Kegiatan Kantor- Alat/Bahan Untuk Kegiatan Kantor Lainnya</t>
  </si>
  <si>
    <t xml:space="preserve">Belanja Perjalanan Dinas Dalam Kota </t>
  </si>
  <si>
    <t xml:space="preserve">PENYELENGGARAAN URUSAN PEMERINTAHAN UMUM SESUAI PENUGASAN KEPALA DAERAH </t>
  </si>
  <si>
    <t>Pembinaan Kerukunan Antarsukudan Intrasuku, Umat Beragama, Ras dan Golongan Lainnya Guna Mewujudkan Stabilitas Keamanan Lokal, Regional dan Nasional (Tim Ramadhan)</t>
  </si>
  <si>
    <t>;05</t>
  </si>
  <si>
    <t>Belanja Alat/Bahan Untuk Kegiatan Kantor- Alat Tulis Kantor</t>
  </si>
  <si>
    <t xml:space="preserve">Belanja Makanan dan Minuman Jamuan Tamu </t>
  </si>
  <si>
    <t xml:space="preserve">Honoraraium Tim Pelaksana Kegiatan dan Sekretariat Tim Pelaksana Kegiatan </t>
  </si>
  <si>
    <t>Honoraraium Penyuluhan atau Pendampingan</t>
  </si>
  <si>
    <t xml:space="preserve">Belanja Jasa Tenaga Ahli </t>
  </si>
  <si>
    <t xml:space="preserve">Belanja Jasa Juri Perlombaan/Pertandingan </t>
  </si>
  <si>
    <t xml:space="preserve">Belanja Hadiah yang Bersifat Perlombaan </t>
  </si>
  <si>
    <t xml:space="preserve">Pelaksanaan Tugas Forum Koordinasi Pimpinan di Kecamatan </t>
  </si>
  <si>
    <t xml:space="preserve">Belanja Alat/Bahan Untuk Kegiatan Kantor- Alat Tulis Kantor </t>
  </si>
  <si>
    <t xml:space="preserve">Belanja Alat/Bahan Untuk Kegiatan Kantor- Sovenir/Cendera Mata </t>
  </si>
  <si>
    <t xml:space="preserve">Honorarium Tim Pelaksana Kegiatan dan Sekretariat Tim Pelaksana Kegiatan </t>
  </si>
  <si>
    <t>Belanja Sewa Alat Musik</t>
  </si>
  <si>
    <t>Mengetahui :</t>
  </si>
  <si>
    <t xml:space="preserve">Pengguna Anggaran </t>
  </si>
  <si>
    <t>Kecamatan Padang Panjang Timur</t>
  </si>
  <si>
    <t>Pejabat Penatausahaan Keuangan (PPK)</t>
  </si>
  <si>
    <t>JUBLINA GA WEWO, SE</t>
  </si>
  <si>
    <t>NIP.197809102007012004</t>
  </si>
  <si>
    <t>KOTA PADANG PANJANG</t>
  </si>
  <si>
    <t>Satuan</t>
  </si>
  <si>
    <t>Persentase partisipasi masyarakat dalam pembangunan kecamatan dan kelurahan</t>
  </si>
  <si>
    <t>%</t>
  </si>
  <si>
    <t>orang</t>
  </si>
  <si>
    <t>stel</t>
  </si>
  <si>
    <t>jenis</t>
  </si>
  <si>
    <t>janis</t>
  </si>
  <si>
    <t>bulan</t>
  </si>
  <si>
    <t>kali</t>
  </si>
  <si>
    <t>ok</t>
  </si>
  <si>
    <t>unit</t>
  </si>
  <si>
    <t>rekening</t>
  </si>
  <si>
    <t>kelurahan</t>
  </si>
  <si>
    <t>urusan</t>
  </si>
  <si>
    <t>lembaga</t>
  </si>
  <si>
    <t>pemenang</t>
  </si>
  <si>
    <t>kegiatan</t>
  </si>
  <si>
    <t>tingkatan, pemenang</t>
  </si>
  <si>
    <t>RT</t>
  </si>
  <si>
    <t>laporan</t>
  </si>
  <si>
    <t>posko</t>
  </si>
  <si>
    <t>Mushalla</t>
  </si>
  <si>
    <t>Cabang</t>
  </si>
  <si>
    <t>Hari Besar</t>
  </si>
  <si>
    <t xml:space="preserve">4 , 12 </t>
  </si>
  <si>
    <t>tingginya animo masyarakat dalam berpartisi utk pembangunan di kelurahan</t>
  </si>
  <si>
    <t>BULAN DESEMBER 2023</t>
  </si>
  <si>
    <t>CP LS, GU</t>
  </si>
  <si>
    <t>Sisa UYHD UP/GU/TU</t>
  </si>
  <si>
    <t xml:space="preserve">Pengadaan Peralatan dan Mesin Lainnya </t>
  </si>
  <si>
    <t>049</t>
  </si>
  <si>
    <t>PERIODE PELAKSANAAN : 2019 - 2023</t>
  </si>
  <si>
    <t>5 (2023)</t>
  </si>
  <si>
    <t>4, 12</t>
  </si>
  <si>
    <t>Persentase fasilitasi dan koordinasi penyelenggaraan pemerintahan umum</t>
  </si>
  <si>
    <t>Persentase Tingkat Koordinasi Trantib</t>
  </si>
  <si>
    <t xml:space="preserve">Jumlah RT yang dibayarkan honornya </t>
  </si>
  <si>
    <t>Jumlah RT yang difasilitasi</t>
  </si>
  <si>
    <t>1 (2019)</t>
  </si>
  <si>
    <t>2 (2020)</t>
  </si>
  <si>
    <t>3 (2021)</t>
  </si>
  <si>
    <t>4 (2022)</t>
  </si>
  <si>
    <t>Perubahan Program sesuai Permen 90 tahun 2019 / Kepmen 050</t>
  </si>
  <si>
    <t>PADANG PANJANG, 5  JANUARI  2024</t>
  </si>
  <si>
    <t>Plt.CAMAT PADANG PANJANG TIMUR</t>
  </si>
  <si>
    <t>GUSRIAL, S.Sos</t>
  </si>
  <si>
    <t xml:space="preserve"> NIP : 19661005 198903 1 007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</si>
</sst>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_(* #,##0.00_);_(* \(#,##0.00\);_(* &quot;-&quot;_);_(@_)"/>
    <numFmt numFmtId="168" formatCode="_-* #,##0_-;\-* #,##0_-;_-* &quot;-&quot;??_-;_-@_-"/>
    <numFmt numFmtId="169" formatCode="0.0"/>
  </numFmts>
  <fonts count="5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u/>
      <sz val="12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1"/>
      <color theme="9" tint="0.59999389629810485"/>
      <name val="Calibri"/>
      <family val="2"/>
      <scheme val="minor"/>
    </font>
    <font>
      <b/>
      <sz val="20"/>
      <name val="Arial"/>
      <family val="2"/>
    </font>
    <font>
      <sz val="16"/>
      <color theme="1"/>
      <name val="Calibri"/>
      <family val="2"/>
      <scheme val="minor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3"/>
      <color indexed="8"/>
      <name val="Arial"/>
      <family val="2"/>
    </font>
    <font>
      <b/>
      <sz val="13"/>
      <color theme="1"/>
      <name val="Tahoma"/>
      <family val="2"/>
    </font>
    <font>
      <sz val="13"/>
      <color theme="1"/>
      <name val="Tahoma"/>
      <family val="2"/>
    </font>
    <font>
      <sz val="13"/>
      <name val="Arial"/>
      <family val="2"/>
    </font>
    <font>
      <b/>
      <u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Tahoma"/>
      <family val="2"/>
    </font>
    <font>
      <b/>
      <sz val="13"/>
      <color indexed="8"/>
      <name val="Tahoma"/>
      <family val="2"/>
    </font>
    <font>
      <sz val="13"/>
      <color indexed="8"/>
      <name val="Tahoma"/>
      <family val="2"/>
    </font>
    <font>
      <sz val="13"/>
      <name val="Tahoma"/>
      <family val="2"/>
    </font>
    <font>
      <b/>
      <sz val="13"/>
      <name val="Tahoma"/>
      <family val="2"/>
    </font>
    <font>
      <b/>
      <u/>
      <sz val="13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CFEB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</borders>
  <cellStyleXfs count="81">
    <xf numFmtId="0" fontId="0" fillId="0" borderId="0">
      <alignment vertical="center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168" fontId="7" fillId="0" borderId="0" applyFont="0" applyFill="0" applyBorder="0" applyAlignment="0" applyProtection="0"/>
    <xf numFmtId="0" fontId="3" fillId="0" borderId="0">
      <alignment vertical="center"/>
    </xf>
    <xf numFmtId="41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3" fillId="0" borderId="0" applyFont="0" applyFill="0" applyBorder="0" applyAlignment="0" applyProtection="0">
      <alignment vertical="center"/>
    </xf>
    <xf numFmtId="169" fontId="3" fillId="0" borderId="0" applyFont="0" applyFill="0" applyBorder="0" applyAlignment="0" applyProtection="0">
      <alignment vertical="center"/>
    </xf>
    <xf numFmtId="169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2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3" fillId="0" borderId="0">
      <protection locked="0"/>
    </xf>
    <xf numFmtId="0" fontId="3" fillId="0" borderId="0"/>
    <xf numFmtId="0" fontId="3" fillId="0" borderId="0"/>
    <xf numFmtId="0" fontId="23" fillId="0" borderId="0">
      <protection locked="0"/>
    </xf>
    <xf numFmtId="0" fontId="23" fillId="0" borderId="0">
      <protection locked="0"/>
    </xf>
    <xf numFmtId="0" fontId="3" fillId="0" borderId="0"/>
    <xf numFmtId="0" fontId="3" fillId="0" borderId="0"/>
    <xf numFmtId="0" fontId="24" fillId="0" borderId="0"/>
    <xf numFmtId="0" fontId="3" fillId="0" borderId="0"/>
    <xf numFmtId="0" fontId="25" fillId="13" borderId="1" applyNumberFormat="0" applyAlignment="0" applyProtection="0"/>
    <xf numFmtId="9" fontId="3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4">
    <xf numFmtId="0" fontId="0" fillId="0" borderId="0" xfId="0">
      <alignment vertical="center"/>
    </xf>
    <xf numFmtId="0" fontId="5" fillId="0" borderId="0" xfId="4" applyFont="1">
      <alignment vertical="center"/>
    </xf>
    <xf numFmtId="0" fontId="4" fillId="0" borderId="0" xfId="4" applyFont="1" applyAlignment="1">
      <alignment horizontal="center" vertical="center"/>
    </xf>
    <xf numFmtId="0" fontId="8" fillId="0" borderId="0" xfId="5" applyFont="1" applyAlignment="1">
      <alignment horizontal="center" vertical="top" wrapText="1"/>
    </xf>
    <xf numFmtId="0" fontId="9" fillId="0" borderId="0" xfId="4" applyFont="1">
      <alignment vertical="center"/>
    </xf>
    <xf numFmtId="0" fontId="3" fillId="0" borderId="0" xfId="4">
      <alignment vertical="center"/>
    </xf>
    <xf numFmtId="0" fontId="4" fillId="0" borderId="0" xfId="4" applyFont="1">
      <alignment vertical="center"/>
    </xf>
    <xf numFmtId="0" fontId="10" fillId="0" borderId="0" xfId="4" applyFont="1">
      <alignment vertical="center"/>
    </xf>
    <xf numFmtId="0" fontId="14" fillId="3" borderId="0" xfId="4" applyFont="1" applyFill="1" applyAlignment="1"/>
    <xf numFmtId="0" fontId="13" fillId="2" borderId="14" xfId="4" applyFont="1" applyFill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3" fillId="2" borderId="2" xfId="4" applyFont="1" applyFill="1" applyBorder="1" applyAlignment="1">
      <alignment horizontal="center" vertical="center"/>
    </xf>
    <xf numFmtId="0" fontId="13" fillId="2" borderId="3" xfId="4" applyFont="1" applyFill="1" applyBorder="1" applyAlignment="1">
      <alignment horizontal="center" vertical="center"/>
    </xf>
    <xf numFmtId="0" fontId="13" fillId="2" borderId="5" xfId="4" applyFont="1" applyFill="1" applyBorder="1" applyAlignment="1">
      <alignment horizontal="center" vertical="center"/>
    </xf>
    <xf numFmtId="0" fontId="12" fillId="5" borderId="14" xfId="4" applyFont="1" applyFill="1" applyBorder="1" applyAlignment="1">
      <alignment horizontal="center" vertical="center"/>
    </xf>
    <xf numFmtId="166" fontId="12" fillId="5" borderId="3" xfId="4" applyNumberFormat="1" applyFont="1" applyFill="1" applyBorder="1" applyAlignment="1">
      <alignment horizontal="center" vertical="center"/>
    </xf>
    <xf numFmtId="0" fontId="12" fillId="5" borderId="5" xfId="4" applyFont="1" applyFill="1" applyBorder="1" applyAlignment="1">
      <alignment horizontal="center" vertical="center"/>
    </xf>
    <xf numFmtId="0" fontId="12" fillId="6" borderId="15" xfId="4" applyFont="1" applyFill="1" applyBorder="1" applyAlignment="1">
      <alignment vertical="center"/>
    </xf>
    <xf numFmtId="0" fontId="12" fillId="6" borderId="13" xfId="4" applyFont="1" applyFill="1" applyBorder="1" applyAlignment="1">
      <alignment vertical="center"/>
    </xf>
    <xf numFmtId="0" fontId="12" fillId="7" borderId="3" xfId="4" applyFont="1" applyFill="1" applyBorder="1" applyAlignment="1">
      <alignment horizontal="center" vertical="center"/>
    </xf>
    <xf numFmtId="0" fontId="12" fillId="7" borderId="14" xfId="4" applyFont="1" applyFill="1" applyBorder="1" applyAlignment="1">
      <alignment horizontal="center" vertical="center"/>
    </xf>
    <xf numFmtId="0" fontId="12" fillId="7" borderId="5" xfId="4" applyFont="1" applyFill="1" applyBorder="1" applyAlignment="1">
      <alignment horizontal="center" vertical="center"/>
    </xf>
    <xf numFmtId="0" fontId="12" fillId="0" borderId="14" xfId="4" applyFont="1" applyFill="1" applyBorder="1" applyAlignment="1">
      <alignment horizontal="center" vertical="center"/>
    </xf>
    <xf numFmtId="0" fontId="16" fillId="8" borderId="9" xfId="5" applyFont="1" applyFill="1" applyBorder="1" applyAlignment="1">
      <alignment horizontal="left" vertical="top" wrapText="1"/>
    </xf>
    <xf numFmtId="0" fontId="12" fillId="8" borderId="3" xfId="4" applyFont="1" applyFill="1" applyBorder="1" applyAlignment="1">
      <alignment horizontal="center" vertical="center"/>
    </xf>
    <xf numFmtId="9" fontId="12" fillId="8" borderId="14" xfId="4" applyNumberFormat="1" applyFont="1" applyFill="1" applyBorder="1" applyAlignment="1">
      <alignment horizontal="center" vertical="center"/>
    </xf>
    <xf numFmtId="9" fontId="12" fillId="8" borderId="5" xfId="4" applyNumberFormat="1" applyFont="1" applyFill="1" applyBorder="1" applyAlignment="1">
      <alignment horizontal="center" vertical="center"/>
    </xf>
    <xf numFmtId="41" fontId="12" fillId="8" borderId="3" xfId="4" applyNumberFormat="1" applyFont="1" applyFill="1" applyBorder="1" applyAlignment="1">
      <alignment horizontal="center" vertical="top"/>
    </xf>
    <xf numFmtId="0" fontId="12" fillId="8" borderId="5" xfId="4" applyFont="1" applyFill="1" applyBorder="1" applyAlignment="1">
      <alignment horizontal="center" vertical="center"/>
    </xf>
    <xf numFmtId="0" fontId="16" fillId="0" borderId="14" xfId="5" applyFont="1" applyFill="1" applyBorder="1" applyAlignment="1">
      <alignment horizontal="left" vertical="top" wrapText="1"/>
    </xf>
    <xf numFmtId="0" fontId="12" fillId="0" borderId="14" xfId="7" applyFont="1" applyFill="1" applyBorder="1" applyAlignment="1">
      <alignment horizontal="justify" vertical="top" wrapText="1"/>
    </xf>
    <xf numFmtId="9" fontId="12" fillId="0" borderId="14" xfId="4" applyNumberFormat="1" applyFont="1" applyFill="1" applyBorder="1" applyAlignment="1">
      <alignment horizontal="center" vertical="center"/>
    </xf>
    <xf numFmtId="9" fontId="12" fillId="0" borderId="5" xfId="4" applyNumberFormat="1" applyFont="1" applyFill="1" applyBorder="1" applyAlignment="1">
      <alignment horizontal="center" vertical="center"/>
    </xf>
    <xf numFmtId="41" fontId="12" fillId="0" borderId="3" xfId="2" applyFont="1" applyFill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/>
    </xf>
    <xf numFmtId="0" fontId="16" fillId="8" borderId="16" xfId="5" applyFont="1" applyFill="1" applyBorder="1" applyAlignment="1">
      <alignment horizontal="left" vertical="top" wrapText="1"/>
    </xf>
    <xf numFmtId="41" fontId="12" fillId="8" borderId="3" xfId="4" applyNumberFormat="1" applyFont="1" applyFill="1" applyBorder="1" applyAlignment="1">
      <alignment horizontal="center" vertical="center"/>
    </xf>
    <xf numFmtId="0" fontId="16" fillId="9" borderId="9" xfId="5" applyFont="1" applyFill="1" applyBorder="1" applyAlignment="1">
      <alignment horizontal="left" vertical="top" wrapText="1"/>
    </xf>
    <xf numFmtId="0" fontId="12" fillId="2" borderId="3" xfId="4" applyFont="1" applyFill="1" applyBorder="1" applyAlignment="1">
      <alignment vertical="center" wrapText="1"/>
    </xf>
    <xf numFmtId="9" fontId="12" fillId="2" borderId="5" xfId="4" applyNumberFormat="1" applyFont="1" applyFill="1" applyBorder="1" applyAlignment="1">
      <alignment horizontal="center" vertical="center"/>
    </xf>
    <xf numFmtId="41" fontId="12" fillId="2" borderId="3" xfId="2" applyFont="1" applyFill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7" fillId="0" borderId="14" xfId="5" applyFont="1" applyFill="1" applyBorder="1" applyAlignment="1">
      <alignment horizontal="left" vertical="top" wrapText="1"/>
    </xf>
    <xf numFmtId="0" fontId="18" fillId="0" borderId="14" xfId="4" applyFont="1" applyFill="1" applyBorder="1" applyAlignment="1">
      <alignment vertical="top" wrapText="1"/>
    </xf>
    <xf numFmtId="9" fontId="18" fillId="0" borderId="14" xfId="4" applyNumberFormat="1" applyFont="1" applyFill="1" applyBorder="1" applyAlignment="1">
      <alignment horizontal="center" vertical="top"/>
    </xf>
    <xf numFmtId="41" fontId="18" fillId="0" borderId="14" xfId="4" applyNumberFormat="1" applyFont="1" applyFill="1" applyBorder="1" applyAlignment="1">
      <alignment vertical="top"/>
    </xf>
    <xf numFmtId="41" fontId="18" fillId="0" borderId="14" xfId="2" applyFont="1" applyFill="1" applyBorder="1" applyAlignment="1">
      <alignment horizontal="center" vertical="center"/>
    </xf>
    <xf numFmtId="0" fontId="12" fillId="0" borderId="7" xfId="5" applyFont="1" applyFill="1" applyBorder="1" applyAlignment="1">
      <alignment vertical="top" wrapText="1"/>
    </xf>
    <xf numFmtId="0" fontId="12" fillId="0" borderId="8" xfId="5" applyFont="1" applyFill="1" applyBorder="1" applyAlignment="1">
      <alignment vertical="top" wrapText="1"/>
    </xf>
    <xf numFmtId="0" fontId="18" fillId="0" borderId="14" xfId="4" applyFont="1" applyFill="1" applyBorder="1" applyAlignment="1">
      <alignment horizontal="left" vertical="top" wrapText="1"/>
    </xf>
    <xf numFmtId="0" fontId="16" fillId="9" borderId="14" xfId="5" applyFont="1" applyFill="1" applyBorder="1" applyAlignment="1">
      <alignment horizontal="left" vertical="top" wrapText="1"/>
    </xf>
    <xf numFmtId="0" fontId="12" fillId="9" borderId="14" xfId="4" applyFont="1" applyFill="1" applyBorder="1" applyAlignment="1">
      <alignment horizontal="left" vertical="top" wrapText="1"/>
    </xf>
    <xf numFmtId="9" fontId="18" fillId="9" borderId="14" xfId="4" applyNumberFormat="1" applyFont="1" applyFill="1" applyBorder="1" applyAlignment="1">
      <alignment horizontal="center" vertical="top"/>
    </xf>
    <xf numFmtId="41" fontId="12" fillId="9" borderId="14" xfId="2" applyFont="1" applyFill="1" applyBorder="1" applyAlignment="1">
      <alignment horizontal="center" vertical="top"/>
    </xf>
    <xf numFmtId="0" fontId="12" fillId="9" borderId="14" xfId="4" applyFont="1" applyFill="1" applyBorder="1" applyAlignment="1">
      <alignment horizontal="center" vertical="center"/>
    </xf>
    <xf numFmtId="41" fontId="12" fillId="0" borderId="14" xfId="2" applyFont="1" applyFill="1" applyBorder="1" applyAlignment="1">
      <alignment horizontal="center" vertical="top"/>
    </xf>
    <xf numFmtId="41" fontId="18" fillId="0" borderId="14" xfId="2" applyFont="1" applyFill="1" applyBorder="1" applyAlignment="1">
      <alignment horizontal="center" vertical="top"/>
    </xf>
    <xf numFmtId="0" fontId="12" fillId="0" borderId="14" xfId="4" applyFont="1" applyFill="1" applyBorder="1" applyAlignment="1">
      <alignment vertical="top" wrapText="1"/>
    </xf>
    <xf numFmtId="41" fontId="12" fillId="9" borderId="14" xfId="2" applyFont="1" applyFill="1" applyBorder="1" applyAlignment="1">
      <alignment horizontal="center" vertical="center"/>
    </xf>
    <xf numFmtId="41" fontId="12" fillId="0" borderId="14" xfId="2" applyFont="1" applyFill="1" applyBorder="1" applyAlignment="1">
      <alignment horizontal="center" vertical="center"/>
    </xf>
    <xf numFmtId="0" fontId="12" fillId="9" borderId="14" xfId="4" applyFont="1" applyFill="1" applyBorder="1" applyAlignment="1">
      <alignment vertical="top" wrapText="1"/>
    </xf>
    <xf numFmtId="0" fontId="15" fillId="0" borderId="14" xfId="4" applyFont="1" applyBorder="1" applyAlignment="1">
      <alignment horizontal="center" vertical="center"/>
    </xf>
    <xf numFmtId="0" fontId="12" fillId="10" borderId="14" xfId="4" applyFont="1" applyFill="1" applyBorder="1" applyAlignment="1">
      <alignment vertical="top" wrapText="1"/>
    </xf>
    <xf numFmtId="0" fontId="12" fillId="10" borderId="14" xfId="4" applyFont="1" applyFill="1" applyBorder="1" applyAlignment="1">
      <alignment horizontal="left" vertical="top" wrapText="1"/>
    </xf>
    <xf numFmtId="9" fontId="12" fillId="10" borderId="14" xfId="4" applyNumberFormat="1" applyFont="1" applyFill="1" applyBorder="1" applyAlignment="1">
      <alignment horizontal="center" vertical="top"/>
    </xf>
    <xf numFmtId="41" fontId="12" fillId="10" borderId="14" xfId="4" applyNumberFormat="1" applyFont="1" applyFill="1" applyBorder="1" applyAlignment="1">
      <alignment horizontal="center" vertical="top"/>
    </xf>
    <xf numFmtId="0" fontId="12" fillId="10" borderId="14" xfId="4" applyFont="1" applyFill="1" applyBorder="1" applyAlignment="1">
      <alignment horizontal="center" vertical="top"/>
    </xf>
    <xf numFmtId="0" fontId="15" fillId="0" borderId="0" xfId="4" applyFont="1" applyBorder="1" applyAlignment="1">
      <alignment horizontal="center" vertical="center"/>
    </xf>
    <xf numFmtId="41" fontId="18" fillId="0" borderId="14" xfId="8" applyFont="1" applyBorder="1" applyAlignment="1">
      <alignment vertical="top"/>
    </xf>
    <xf numFmtId="41" fontId="18" fillId="0" borderId="16" xfId="8" applyFont="1" applyBorder="1" applyAlignment="1">
      <alignment horizontal="right" vertical="top"/>
    </xf>
    <xf numFmtId="0" fontId="18" fillId="0" borderId="14" xfId="4" applyFont="1" applyFill="1" applyBorder="1" applyAlignment="1">
      <alignment horizontal="center" vertical="top"/>
    </xf>
    <xf numFmtId="0" fontId="12" fillId="0" borderId="14" xfId="4" applyFont="1" applyFill="1" applyBorder="1" applyAlignment="1">
      <alignment horizontal="center" vertical="top"/>
    </xf>
    <xf numFmtId="0" fontId="18" fillId="3" borderId="14" xfId="5" applyFont="1" applyFill="1" applyBorder="1" applyAlignment="1">
      <alignment vertical="top" wrapText="1"/>
    </xf>
    <xf numFmtId="0" fontId="18" fillId="3" borderId="14" xfId="5" applyFont="1" applyFill="1" applyBorder="1" applyAlignment="1">
      <alignment horizontal="left" vertical="top" wrapText="1"/>
    </xf>
    <xf numFmtId="41" fontId="18" fillId="0" borderId="17" xfId="8" applyFont="1" applyBorder="1" applyAlignment="1">
      <alignment horizontal="right" vertical="top"/>
    </xf>
    <xf numFmtId="0" fontId="12" fillId="10" borderId="14" xfId="5" applyFont="1" applyFill="1" applyBorder="1" applyAlignment="1">
      <alignment vertical="top" wrapText="1"/>
    </xf>
    <xf numFmtId="41" fontId="12" fillId="10" borderId="14" xfId="8" applyFont="1" applyFill="1" applyBorder="1" applyAlignment="1">
      <alignment horizontal="center" vertical="top"/>
    </xf>
    <xf numFmtId="0" fontId="18" fillId="0" borderId="14" xfId="5" applyFont="1" applyFill="1" applyBorder="1" applyAlignment="1">
      <alignment vertical="top" wrapText="1"/>
    </xf>
    <xf numFmtId="0" fontId="18" fillId="0" borderId="14" xfId="5" applyFont="1" applyFill="1" applyBorder="1" applyAlignment="1">
      <alignment horizontal="left" vertical="top" wrapText="1"/>
    </xf>
    <xf numFmtId="9" fontId="12" fillId="0" borderId="14" xfId="4" applyNumberFormat="1" applyFont="1" applyFill="1" applyBorder="1" applyAlignment="1">
      <alignment horizontal="center" vertical="top"/>
    </xf>
    <xf numFmtId="41" fontId="12" fillId="0" borderId="9" xfId="8" applyFont="1" applyFill="1" applyBorder="1" applyAlignment="1">
      <alignment horizontal="center" vertical="top"/>
    </xf>
    <xf numFmtId="41" fontId="18" fillId="0" borderId="14" xfId="8" applyFont="1" applyBorder="1" applyAlignment="1">
      <alignment horizontal="right" vertical="top"/>
    </xf>
    <xf numFmtId="0" fontId="18" fillId="0" borderId="14" xfId="4" applyFont="1" applyFill="1" applyBorder="1" applyAlignment="1">
      <alignment horizontal="center" vertical="center"/>
    </xf>
    <xf numFmtId="0" fontId="19" fillId="11" borderId="14" xfId="4" applyFont="1" applyFill="1" applyBorder="1" applyAlignment="1">
      <alignment horizontal="center" vertical="center"/>
    </xf>
    <xf numFmtId="0" fontId="12" fillId="8" borderId="15" xfId="4" applyFont="1" applyFill="1" applyBorder="1" applyAlignment="1">
      <alignment vertical="top" wrapText="1"/>
    </xf>
    <xf numFmtId="0" fontId="12" fillId="8" borderId="13" xfId="4" applyFont="1" applyFill="1" applyBorder="1" applyAlignment="1">
      <alignment vertical="top" wrapText="1"/>
    </xf>
    <xf numFmtId="49" fontId="12" fillId="8" borderId="14" xfId="4" applyNumberFormat="1" applyFont="1" applyFill="1" applyBorder="1" applyAlignment="1">
      <alignment vertical="top" wrapText="1"/>
    </xf>
    <xf numFmtId="0" fontId="12" fillId="8" borderId="14" xfId="4" applyFont="1" applyFill="1" applyBorder="1" applyAlignment="1">
      <alignment vertical="top" wrapText="1"/>
    </xf>
    <xf numFmtId="167" fontId="12" fillId="8" borderId="14" xfId="8" applyNumberFormat="1" applyFont="1" applyFill="1" applyBorder="1" applyAlignment="1">
      <alignment horizontal="center" vertical="top" wrapText="1"/>
    </xf>
    <xf numFmtId="41" fontId="12" fillId="8" borderId="14" xfId="8" applyFont="1" applyFill="1" applyBorder="1" applyAlignment="1">
      <alignment vertical="top" wrapText="1"/>
    </xf>
    <xf numFmtId="0" fontId="12" fillId="8" borderId="14" xfId="4" applyFont="1" applyFill="1" applyBorder="1" applyAlignment="1">
      <alignment horizontal="center" vertical="top"/>
    </xf>
    <xf numFmtId="0" fontId="12" fillId="11" borderId="15" xfId="4" applyFont="1" applyFill="1" applyBorder="1" applyAlignment="1">
      <alignment horizontal="center" vertical="top" wrapText="1"/>
    </xf>
    <xf numFmtId="0" fontId="12" fillId="11" borderId="13" xfId="4" applyFont="1" applyFill="1" applyBorder="1" applyAlignment="1">
      <alignment horizontal="center" vertical="top" wrapText="1"/>
    </xf>
    <xf numFmtId="0" fontId="12" fillId="11" borderId="15" xfId="4" applyFont="1" applyFill="1" applyBorder="1" applyAlignment="1">
      <alignment vertical="top" wrapText="1"/>
    </xf>
    <xf numFmtId="0" fontId="12" fillId="11" borderId="13" xfId="4" applyFont="1" applyFill="1" applyBorder="1" applyAlignment="1">
      <alignment vertical="top" wrapText="1"/>
    </xf>
    <xf numFmtId="0" fontId="18" fillId="11" borderId="14" xfId="4" applyFont="1" applyFill="1" applyBorder="1" applyAlignment="1">
      <alignment vertical="top"/>
    </xf>
    <xf numFmtId="0" fontId="12" fillId="11" borderId="14" xfId="9" applyFont="1" applyFill="1" applyBorder="1" applyAlignment="1">
      <alignment vertical="top" wrapText="1"/>
    </xf>
    <xf numFmtId="0" fontId="12" fillId="11" borderId="14" xfId="4" applyFont="1" applyFill="1" applyBorder="1" applyAlignment="1">
      <alignment vertical="top" wrapText="1"/>
    </xf>
    <xf numFmtId="167" fontId="12" fillId="11" borderId="14" xfId="8" applyNumberFormat="1" applyFont="1" applyFill="1" applyBorder="1" applyAlignment="1">
      <alignment horizontal="center" vertical="top" wrapText="1"/>
    </xf>
    <xf numFmtId="166" fontId="12" fillId="11" borderId="14" xfId="4" applyNumberFormat="1" applyFont="1" applyFill="1" applyBorder="1" applyAlignment="1">
      <alignment vertical="top"/>
    </xf>
    <xf numFmtId="10" fontId="12" fillId="11" borderId="14" xfId="3" applyNumberFormat="1" applyFont="1" applyFill="1" applyBorder="1" applyAlignment="1">
      <alignment vertical="top"/>
    </xf>
    <xf numFmtId="0" fontId="12" fillId="11" borderId="5" xfId="4" applyFont="1" applyFill="1" applyBorder="1" applyAlignment="1">
      <alignment horizontal="center" vertical="top"/>
    </xf>
    <xf numFmtId="43" fontId="5" fillId="0" borderId="0" xfId="10" applyNumberFormat="1" applyFont="1" applyAlignment="1">
      <alignment vertical="center"/>
    </xf>
    <xf numFmtId="43" fontId="5" fillId="0" borderId="0" xfId="4" applyNumberFormat="1" applyFont="1">
      <alignment vertical="center"/>
    </xf>
    <xf numFmtId="41" fontId="5" fillId="0" borderId="0" xfId="2" applyFont="1" applyAlignment="1">
      <alignment vertical="center"/>
    </xf>
    <xf numFmtId="0" fontId="12" fillId="0" borderId="15" xfId="4" applyFont="1" applyFill="1" applyBorder="1" applyAlignment="1">
      <alignment horizontal="center" vertical="top" wrapText="1"/>
    </xf>
    <xf numFmtId="0" fontId="12" fillId="0" borderId="13" xfId="4" applyFont="1" applyFill="1" applyBorder="1" applyAlignment="1">
      <alignment horizontal="center" vertical="top" wrapText="1"/>
    </xf>
    <xf numFmtId="0" fontId="12" fillId="0" borderId="15" xfId="4" applyFont="1" applyFill="1" applyBorder="1" applyAlignment="1">
      <alignment vertical="top" wrapText="1"/>
    </xf>
    <xf numFmtId="0" fontId="12" fillId="0" borderId="13" xfId="4" applyFont="1" applyFill="1" applyBorder="1" applyAlignment="1">
      <alignment vertical="top" wrapText="1"/>
    </xf>
    <xf numFmtId="0" fontId="18" fillId="4" borderId="14" xfId="4" applyFont="1" applyFill="1" applyBorder="1" applyAlignment="1">
      <alignment vertical="top"/>
    </xf>
    <xf numFmtId="0" fontId="12" fillId="4" borderId="9" xfId="7" applyFont="1" applyFill="1" applyBorder="1" applyAlignment="1">
      <alignment horizontal="left" vertical="top" wrapText="1"/>
    </xf>
    <xf numFmtId="0" fontId="12" fillId="4" borderId="9" xfId="7" applyFont="1" applyFill="1" applyBorder="1" applyAlignment="1">
      <alignment horizontal="justify" vertical="top" wrapText="1"/>
    </xf>
    <xf numFmtId="167" fontId="12" fillId="4" borderId="14" xfId="8" applyNumberFormat="1" applyFont="1" applyFill="1" applyBorder="1" applyAlignment="1">
      <alignment horizontal="center" vertical="top" wrapText="1"/>
    </xf>
    <xf numFmtId="41" fontId="12" fillId="4" borderId="14" xfId="8" applyFont="1" applyFill="1" applyBorder="1" applyAlignment="1">
      <alignment vertical="top"/>
    </xf>
    <xf numFmtId="166" fontId="12" fillId="4" borderId="14" xfId="4" applyNumberFormat="1" applyFont="1" applyFill="1" applyBorder="1" applyAlignment="1">
      <alignment vertical="top"/>
    </xf>
    <xf numFmtId="0" fontId="12" fillId="4" borderId="14" xfId="4" applyFont="1" applyFill="1" applyBorder="1" applyAlignment="1">
      <alignment vertical="top"/>
    </xf>
    <xf numFmtId="0" fontId="12" fillId="4" borderId="14" xfId="4" applyFont="1" applyFill="1" applyBorder="1" applyAlignment="1">
      <alignment horizontal="center" vertical="top"/>
    </xf>
    <xf numFmtId="0" fontId="18" fillId="0" borderId="14" xfId="4" applyFont="1" applyFill="1" applyBorder="1" applyAlignment="1">
      <alignment vertical="top"/>
    </xf>
    <xf numFmtId="0" fontId="18" fillId="0" borderId="14" xfId="7" applyFont="1" applyFill="1" applyBorder="1" applyAlignment="1">
      <alignment horizontal="left" vertical="top" wrapText="1"/>
    </xf>
    <xf numFmtId="0" fontId="18" fillId="0" borderId="14" xfId="7" applyFont="1" applyFill="1" applyBorder="1" applyAlignment="1">
      <alignment horizontal="justify" vertical="top" wrapText="1"/>
    </xf>
    <xf numFmtId="167" fontId="12" fillId="0" borderId="14" xfId="8" applyNumberFormat="1" applyFont="1" applyFill="1" applyBorder="1" applyAlignment="1">
      <alignment horizontal="center" vertical="top" wrapText="1"/>
    </xf>
    <xf numFmtId="41" fontId="12" fillId="0" borderId="14" xfId="8" applyFont="1" applyFill="1" applyBorder="1" applyAlignment="1">
      <alignment vertical="top"/>
    </xf>
    <xf numFmtId="3" fontId="18" fillId="0" borderId="14" xfId="7" applyNumberFormat="1" applyFont="1" applyFill="1" applyBorder="1" applyAlignment="1">
      <alignment horizontal="right" vertical="top"/>
    </xf>
    <xf numFmtId="166" fontId="18" fillId="0" borderId="0" xfId="4" applyNumberFormat="1" applyFont="1" applyAlignment="1">
      <alignment vertical="top"/>
    </xf>
    <xf numFmtId="166" fontId="5" fillId="0" borderId="0" xfId="4" applyNumberFormat="1" applyFont="1">
      <alignment vertical="center"/>
    </xf>
    <xf numFmtId="166" fontId="18" fillId="4" borderId="0" xfId="10" applyNumberFormat="1" applyFont="1" applyFill="1" applyAlignment="1">
      <alignment vertical="top"/>
    </xf>
    <xf numFmtId="166" fontId="3" fillId="0" borderId="0" xfId="4" applyNumberFormat="1" applyFont="1" applyAlignment="1">
      <alignment vertical="top"/>
    </xf>
    <xf numFmtId="0" fontId="12" fillId="4" borderId="14" xfId="9" applyFont="1" applyFill="1" applyBorder="1" applyAlignment="1">
      <alignment vertical="top" wrapText="1"/>
    </xf>
    <xf numFmtId="0" fontId="12" fillId="4" borderId="14" xfId="4" applyFont="1" applyFill="1" applyBorder="1" applyAlignment="1">
      <alignment vertical="top" wrapText="1"/>
    </xf>
    <xf numFmtId="0" fontId="18" fillId="0" borderId="14" xfId="9" applyFont="1" applyFill="1" applyBorder="1" applyAlignment="1">
      <alignment vertical="top" wrapText="1"/>
    </xf>
    <xf numFmtId="166" fontId="12" fillId="0" borderId="14" xfId="4" applyNumberFormat="1" applyFont="1" applyFill="1" applyBorder="1" applyAlignment="1">
      <alignment vertical="top"/>
    </xf>
    <xf numFmtId="166" fontId="18" fillId="0" borderId="14" xfId="4" applyNumberFormat="1" applyFont="1" applyFill="1" applyBorder="1" applyAlignment="1">
      <alignment vertical="top"/>
    </xf>
    <xf numFmtId="0" fontId="12" fillId="0" borderId="14" xfId="4" applyFont="1" applyFill="1" applyBorder="1" applyAlignment="1">
      <alignment vertical="top"/>
    </xf>
    <xf numFmtId="168" fontId="12" fillId="0" borderId="14" xfId="10" applyNumberFormat="1" applyFont="1" applyFill="1" applyBorder="1" applyAlignment="1">
      <alignment vertical="top"/>
    </xf>
    <xf numFmtId="0" fontId="18" fillId="0" borderId="14" xfId="9" applyFont="1" applyFill="1" applyBorder="1" applyAlignment="1">
      <alignment horizontal="left" vertical="top" wrapText="1"/>
    </xf>
    <xf numFmtId="166" fontId="12" fillId="0" borderId="14" xfId="10" applyNumberFormat="1" applyFont="1" applyFill="1" applyBorder="1" applyAlignment="1">
      <alignment vertical="top"/>
    </xf>
    <xf numFmtId="0" fontId="18" fillId="0" borderId="14" xfId="4" applyFont="1" applyBorder="1" applyAlignment="1">
      <alignment vertical="top"/>
    </xf>
    <xf numFmtId="168" fontId="18" fillId="0" borderId="14" xfId="10" applyNumberFormat="1" applyFont="1" applyFill="1" applyBorder="1" applyAlignment="1">
      <alignment vertical="top"/>
    </xf>
    <xf numFmtId="0" fontId="18" fillId="0" borderId="14" xfId="9" applyFont="1" applyFill="1" applyBorder="1" applyAlignment="1">
      <alignment horizontal="left" vertical="top"/>
    </xf>
    <xf numFmtId="166" fontId="18" fillId="0" borderId="14" xfId="10" applyNumberFormat="1" applyFont="1" applyFill="1" applyBorder="1" applyAlignment="1">
      <alignment vertical="top"/>
    </xf>
    <xf numFmtId="168" fontId="18" fillId="0" borderId="14" xfId="10" applyNumberFormat="1" applyFont="1" applyFill="1" applyBorder="1" applyAlignment="1">
      <alignment vertical="top" wrapText="1"/>
    </xf>
    <xf numFmtId="165" fontId="5" fillId="0" borderId="0" xfId="4" applyNumberFormat="1" applyFont="1">
      <alignment vertical="center"/>
    </xf>
    <xf numFmtId="0" fontId="12" fillId="4" borderId="15" xfId="4" applyFont="1" applyFill="1" applyBorder="1" applyAlignment="1">
      <alignment horizontal="center" vertical="top" wrapText="1"/>
    </xf>
    <xf numFmtId="0" fontId="12" fillId="4" borderId="13" xfId="4" applyFont="1" applyFill="1" applyBorder="1" applyAlignment="1">
      <alignment horizontal="center" vertical="top" wrapText="1"/>
    </xf>
    <xf numFmtId="0" fontId="12" fillId="4" borderId="15" xfId="4" applyFont="1" applyFill="1" applyBorder="1" applyAlignment="1">
      <alignment vertical="top" wrapText="1"/>
    </xf>
    <xf numFmtId="0" fontId="12" fillId="4" borderId="13" xfId="4" applyFont="1" applyFill="1" applyBorder="1" applyAlignment="1">
      <alignment vertical="top" wrapText="1"/>
    </xf>
    <xf numFmtId="0" fontId="12" fillId="4" borderId="14" xfId="9" applyFont="1" applyFill="1" applyBorder="1" applyAlignment="1">
      <alignment horizontal="left" vertical="top" wrapText="1"/>
    </xf>
    <xf numFmtId="166" fontId="12" fillId="4" borderId="14" xfId="10" applyNumberFormat="1" applyFont="1" applyFill="1" applyBorder="1" applyAlignment="1">
      <alignment vertical="top"/>
    </xf>
    <xf numFmtId="168" fontId="12" fillId="0" borderId="14" xfId="4" applyNumberFormat="1" applyFont="1" applyFill="1" applyBorder="1" applyAlignment="1">
      <alignment vertical="top"/>
    </xf>
    <xf numFmtId="166" fontId="5" fillId="4" borderId="0" xfId="10" applyNumberFormat="1" applyFont="1" applyFill="1" applyAlignment="1">
      <alignment vertical="center"/>
    </xf>
    <xf numFmtId="43" fontId="5" fillId="4" borderId="0" xfId="10" applyNumberFormat="1" applyFont="1" applyFill="1" applyAlignment="1">
      <alignment vertical="center"/>
    </xf>
    <xf numFmtId="41" fontId="5" fillId="4" borderId="0" xfId="2" applyFont="1" applyFill="1" applyAlignment="1">
      <alignment vertical="center"/>
    </xf>
    <xf numFmtId="0" fontId="18" fillId="11" borderId="14" xfId="4" applyFont="1" applyFill="1" applyBorder="1" applyAlignment="1">
      <alignment vertical="top" wrapText="1"/>
    </xf>
    <xf numFmtId="0" fontId="18" fillId="11" borderId="15" xfId="4" applyFont="1" applyFill="1" applyBorder="1" applyAlignment="1">
      <alignment vertical="top" wrapText="1"/>
    </xf>
    <xf numFmtId="0" fontId="18" fillId="11" borderId="13" xfId="4" applyFont="1" applyFill="1" applyBorder="1" applyAlignment="1">
      <alignment vertical="top" wrapText="1"/>
    </xf>
    <xf numFmtId="0" fontId="12" fillId="11" borderId="14" xfId="11" applyFont="1" applyFill="1" applyBorder="1" applyAlignment="1">
      <alignment vertical="top" wrapText="1"/>
    </xf>
    <xf numFmtId="0" fontId="12" fillId="11" borderId="14" xfId="4" applyFont="1" applyFill="1" applyBorder="1" applyAlignment="1">
      <alignment vertical="top"/>
    </xf>
    <xf numFmtId="0" fontId="18" fillId="4" borderId="15" xfId="4" applyFont="1" applyFill="1" applyBorder="1" applyAlignment="1">
      <alignment vertical="top"/>
    </xf>
    <xf numFmtId="0" fontId="18" fillId="4" borderId="13" xfId="4" applyFont="1" applyFill="1" applyBorder="1" applyAlignment="1">
      <alignment vertical="top"/>
    </xf>
    <xf numFmtId="0" fontId="12" fillId="4" borderId="14" xfId="11" applyFont="1" applyFill="1" applyBorder="1" applyAlignment="1">
      <alignment vertical="top" wrapText="1"/>
    </xf>
    <xf numFmtId="0" fontId="18" fillId="0" borderId="15" xfId="4" applyFont="1" applyBorder="1" applyAlignment="1">
      <alignment vertical="top"/>
    </xf>
    <xf numFmtId="0" fontId="18" fillId="0" borderId="13" xfId="4" applyFont="1" applyBorder="1" applyAlignment="1">
      <alignment vertical="top"/>
    </xf>
    <xf numFmtId="0" fontId="18" fillId="0" borderId="14" xfId="11" applyFont="1" applyFill="1" applyBorder="1" applyAlignment="1">
      <alignment horizontal="left" vertical="top" wrapText="1"/>
    </xf>
    <xf numFmtId="0" fontId="18" fillId="0" borderId="14" xfId="4" applyFont="1" applyBorder="1" applyAlignment="1">
      <alignment vertical="top" wrapText="1"/>
    </xf>
    <xf numFmtId="166" fontId="18" fillId="0" borderId="14" xfId="10" applyNumberFormat="1" applyFont="1" applyBorder="1" applyAlignment="1">
      <alignment vertical="top"/>
    </xf>
    <xf numFmtId="165" fontId="5" fillId="4" borderId="0" xfId="4" applyNumberFormat="1" applyFont="1" applyFill="1">
      <alignment vertical="center"/>
    </xf>
    <xf numFmtId="166" fontId="12" fillId="4" borderId="14" xfId="4" applyNumberFormat="1" applyFont="1" applyFill="1" applyBorder="1" applyAlignment="1">
      <alignment vertical="top" wrapText="1"/>
    </xf>
    <xf numFmtId="3" fontId="5" fillId="0" borderId="0" xfId="4" applyNumberFormat="1" applyFont="1">
      <alignment vertical="center"/>
    </xf>
    <xf numFmtId="0" fontId="13" fillId="0" borderId="14" xfId="0" applyFont="1" applyFill="1" applyBorder="1" applyAlignment="1">
      <alignment horizontal="left" vertical="top" wrapText="1"/>
    </xf>
    <xf numFmtId="0" fontId="5" fillId="0" borderId="14" xfId="4" applyFont="1" applyBorder="1">
      <alignment vertical="center"/>
    </xf>
    <xf numFmtId="41" fontId="18" fillId="0" borderId="14" xfId="8" applyFont="1" applyFill="1" applyBorder="1" applyAlignment="1">
      <alignment vertical="top"/>
    </xf>
    <xf numFmtId="41" fontId="5" fillId="0" borderId="0" xfId="4" applyNumberFormat="1" applyFont="1">
      <alignment vertical="center"/>
    </xf>
    <xf numFmtId="166" fontId="5" fillId="0" borderId="0" xfId="10" applyNumberFormat="1" applyFont="1" applyAlignment="1">
      <alignment vertical="center"/>
    </xf>
    <xf numFmtId="41" fontId="18" fillId="0" borderId="14" xfId="8" applyFont="1" applyFill="1" applyBorder="1" applyAlignment="1">
      <alignment vertical="top" wrapText="1"/>
    </xf>
    <xf numFmtId="0" fontId="13" fillId="0" borderId="14" xfId="0" applyFont="1" applyBorder="1" applyAlignment="1">
      <alignment horizontal="left" vertical="top" wrapText="1"/>
    </xf>
    <xf numFmtId="0" fontId="18" fillId="0" borderId="15" xfId="4" applyFont="1" applyFill="1" applyBorder="1" applyAlignment="1">
      <alignment vertical="top"/>
    </xf>
    <xf numFmtId="0" fontId="18" fillId="0" borderId="13" xfId="4" applyFont="1" applyFill="1" applyBorder="1" applyAlignment="1">
      <alignment vertical="top"/>
    </xf>
    <xf numFmtId="0" fontId="18" fillId="11" borderId="15" xfId="4" applyFont="1" applyFill="1" applyBorder="1" applyAlignment="1">
      <alignment vertical="top"/>
    </xf>
    <xf numFmtId="0" fontId="18" fillId="11" borderId="13" xfId="4" applyFont="1" applyFill="1" applyBorder="1" applyAlignment="1">
      <alignment vertical="top"/>
    </xf>
    <xf numFmtId="168" fontId="5" fillId="0" borderId="0" xfId="4" applyNumberFormat="1" applyFont="1">
      <alignment vertical="center"/>
    </xf>
    <xf numFmtId="168" fontId="12" fillId="4" borderId="14" xfId="4" applyNumberFormat="1" applyFont="1" applyFill="1" applyBorder="1" applyAlignment="1">
      <alignment vertical="top"/>
    </xf>
    <xf numFmtId="0" fontId="12" fillId="0" borderId="14" xfId="4" applyFont="1" applyBorder="1" applyAlignment="1">
      <alignment vertical="top"/>
    </xf>
    <xf numFmtId="166" fontId="18" fillId="0" borderId="14" xfId="10" applyNumberFormat="1" applyFont="1" applyBorder="1" applyAlignment="1">
      <alignment vertical="top" wrapText="1"/>
    </xf>
    <xf numFmtId="166" fontId="5" fillId="4" borderId="0" xfId="4" applyNumberFormat="1" applyFont="1" applyFill="1">
      <alignment vertical="center"/>
    </xf>
    <xf numFmtId="9" fontId="12" fillId="11" borderId="14" xfId="4" applyNumberFormat="1" applyFont="1" applyFill="1" applyBorder="1" applyAlignment="1">
      <alignment vertical="top"/>
    </xf>
    <xf numFmtId="0" fontId="5" fillId="4" borderId="0" xfId="4" applyFont="1" applyFill="1">
      <alignment vertical="center"/>
    </xf>
    <xf numFmtId="41" fontId="5" fillId="11" borderId="0" xfId="8" applyFont="1" applyFill="1" applyAlignment="1">
      <alignment vertical="center"/>
    </xf>
    <xf numFmtId="10" fontId="5" fillId="0" borderId="0" xfId="12" applyNumberFormat="1" applyFont="1" applyAlignment="1">
      <alignment vertical="center"/>
    </xf>
    <xf numFmtId="41" fontId="18" fillId="0" borderId="14" xfId="4" applyNumberFormat="1" applyFont="1" applyBorder="1" applyAlignment="1">
      <alignment vertical="top"/>
    </xf>
    <xf numFmtId="0" fontId="18" fillId="0" borderId="0" xfId="4" applyFont="1">
      <alignment vertical="center"/>
    </xf>
    <xf numFmtId="0" fontId="18" fillId="0" borderId="0" xfId="4" applyFont="1" applyFill="1">
      <alignment vertical="center"/>
    </xf>
    <xf numFmtId="0" fontId="21" fillId="0" borderId="0" xfId="4" applyFont="1">
      <alignment vertical="center"/>
    </xf>
    <xf numFmtId="0" fontId="20" fillId="0" borderId="0" xfId="4" applyFont="1">
      <alignment vertical="center"/>
    </xf>
    <xf numFmtId="0" fontId="18" fillId="0" borderId="0" xfId="4" quotePrefix="1" applyFont="1">
      <alignment vertical="center"/>
    </xf>
    <xf numFmtId="0" fontId="18" fillId="12" borderId="0" xfId="4" applyFont="1" applyFill="1">
      <alignment vertical="center"/>
    </xf>
    <xf numFmtId="0" fontId="20" fillId="0" borderId="0" xfId="4" applyFont="1" applyFill="1">
      <alignment vertical="center"/>
    </xf>
    <xf numFmtId="0" fontId="9" fillId="0" borderId="0" xfId="4" applyFont="1" applyAlignment="1">
      <alignment vertical="center"/>
    </xf>
    <xf numFmtId="0" fontId="6" fillId="0" borderId="0" xfId="5" applyFont="1" applyAlignment="1">
      <alignment vertical="top"/>
    </xf>
    <xf numFmtId="0" fontId="6" fillId="0" borderId="0" xfId="5" applyFont="1" applyAlignment="1">
      <alignment vertical="top" wrapText="1"/>
    </xf>
    <xf numFmtId="0" fontId="4" fillId="0" borderId="0" xfId="4" applyFont="1" applyAlignment="1">
      <alignment vertical="center"/>
    </xf>
    <xf numFmtId="0" fontId="12" fillId="0" borderId="4" xfId="5" applyFont="1" applyFill="1" applyBorder="1" applyAlignment="1">
      <alignment vertical="top" wrapText="1"/>
    </xf>
    <xf numFmtId="0" fontId="12" fillId="0" borderId="0" xfId="5" applyFont="1" applyFill="1" applyBorder="1" applyAlignment="1">
      <alignment vertical="top" wrapText="1"/>
    </xf>
    <xf numFmtId="0" fontId="12" fillId="0" borderId="0" xfId="5" applyFont="1" applyFill="1" applyBorder="1" applyAlignment="1">
      <alignment horizontal="center" vertical="top" wrapText="1"/>
    </xf>
    <xf numFmtId="0" fontId="12" fillId="0" borderId="18" xfId="5" applyFont="1" applyFill="1" applyBorder="1" applyAlignment="1">
      <alignment horizontal="center" vertical="top" wrapText="1"/>
    </xf>
    <xf numFmtId="0" fontId="12" fillId="8" borderId="6" xfId="4" applyFont="1" applyFill="1" applyBorder="1" applyAlignment="1">
      <alignment vertical="top" wrapText="1"/>
    </xf>
    <xf numFmtId="0" fontId="12" fillId="11" borderId="6" xfId="4" applyFont="1" applyFill="1" applyBorder="1" applyAlignment="1">
      <alignment horizontal="center" vertical="top" wrapText="1"/>
    </xf>
    <xf numFmtId="0" fontId="12" fillId="0" borderId="6" xfId="4" applyFont="1" applyFill="1" applyBorder="1" applyAlignment="1">
      <alignment horizontal="center" vertical="top" wrapText="1"/>
    </xf>
    <xf numFmtId="0" fontId="12" fillId="4" borderId="6" xfId="4" applyFont="1" applyFill="1" applyBorder="1" applyAlignment="1">
      <alignment horizontal="center" vertical="top" wrapText="1"/>
    </xf>
    <xf numFmtId="9" fontId="12" fillId="8" borderId="14" xfId="4" applyNumberFormat="1" applyFont="1" applyFill="1" applyBorder="1" applyAlignment="1">
      <alignment horizontal="center" vertical="top"/>
    </xf>
    <xf numFmtId="41" fontId="12" fillId="8" borderId="14" xfId="4" applyNumberFormat="1" applyFont="1" applyFill="1" applyBorder="1" applyAlignment="1">
      <alignment horizontal="center" vertical="top"/>
    </xf>
    <xf numFmtId="9" fontId="12" fillId="2" borderId="14" xfId="4" applyNumberFormat="1" applyFont="1" applyFill="1" applyBorder="1" applyAlignment="1">
      <alignment horizontal="center" vertical="top"/>
    </xf>
    <xf numFmtId="41" fontId="12" fillId="2" borderId="14" xfId="2" applyFont="1" applyFill="1" applyBorder="1" applyAlignment="1">
      <alignment horizontal="center" vertical="top"/>
    </xf>
    <xf numFmtId="41" fontId="12" fillId="0" borderId="14" xfId="8" applyFont="1" applyFill="1" applyBorder="1" applyAlignment="1">
      <alignment horizontal="center" vertical="top"/>
    </xf>
    <xf numFmtId="9" fontId="12" fillId="11" borderId="14" xfId="8" applyNumberFormat="1" applyFont="1" applyFill="1" applyBorder="1" applyAlignment="1">
      <alignment vertical="top"/>
    </xf>
    <xf numFmtId="10" fontId="12" fillId="11" borderId="14" xfId="12" applyNumberFormat="1" applyFont="1" applyFill="1" applyBorder="1" applyAlignment="1">
      <alignment vertical="top"/>
    </xf>
    <xf numFmtId="10" fontId="12" fillId="11" borderId="14" xfId="4" applyNumberFormat="1" applyFont="1" applyFill="1" applyBorder="1" applyAlignment="1">
      <alignment vertical="top"/>
    </xf>
    <xf numFmtId="41" fontId="18" fillId="0" borderId="5" xfId="4" applyNumberFormat="1" applyFont="1" applyFill="1" applyBorder="1" applyAlignment="1">
      <alignment horizontal="center" vertical="center"/>
    </xf>
    <xf numFmtId="41" fontId="12" fillId="5" borderId="5" xfId="4" applyNumberFormat="1" applyFont="1" applyFill="1" applyBorder="1" applyAlignment="1">
      <alignment horizontal="center" vertical="center"/>
    </xf>
    <xf numFmtId="9" fontId="12" fillId="5" borderId="14" xfId="4" applyNumberFormat="1" applyFont="1" applyFill="1" applyBorder="1" applyAlignment="1">
      <alignment horizontal="center" vertical="center"/>
    </xf>
    <xf numFmtId="0" fontId="12" fillId="12" borderId="14" xfId="4" applyFont="1" applyFill="1" applyBorder="1" applyAlignment="1">
      <alignment vertical="top" wrapText="1"/>
    </xf>
    <xf numFmtId="166" fontId="12" fillId="5" borderId="5" xfId="4" applyNumberFormat="1" applyFont="1" applyFill="1" applyBorder="1" applyAlignment="1">
      <alignment horizontal="center" vertical="center"/>
    </xf>
    <xf numFmtId="10" fontId="12" fillId="5" borderId="5" xfId="3" applyNumberFormat="1" applyFont="1" applyFill="1" applyBorder="1" applyAlignment="1">
      <alignment horizontal="center" vertical="center"/>
    </xf>
    <xf numFmtId="10" fontId="12" fillId="8" borderId="5" xfId="4" applyNumberFormat="1" applyFont="1" applyFill="1" applyBorder="1" applyAlignment="1">
      <alignment horizontal="center" vertical="center"/>
    </xf>
    <xf numFmtId="0" fontId="26" fillId="2" borderId="4" xfId="4" applyFont="1" applyFill="1" applyBorder="1" applyAlignment="1">
      <alignment horizontal="center" vertical="center"/>
    </xf>
    <xf numFmtId="0" fontId="26" fillId="2" borderId="3" xfId="4" applyFont="1" applyFill="1" applyBorder="1" applyAlignment="1">
      <alignment horizontal="center" vertical="center"/>
    </xf>
    <xf numFmtId="0" fontId="26" fillId="2" borderId="14" xfId="4" applyFont="1" applyFill="1" applyBorder="1" applyAlignment="1">
      <alignment horizontal="center" vertical="center"/>
    </xf>
    <xf numFmtId="0" fontId="26" fillId="2" borderId="5" xfId="4" applyFont="1" applyFill="1" applyBorder="1" applyAlignment="1">
      <alignment horizontal="center" vertical="center"/>
    </xf>
    <xf numFmtId="10" fontId="12" fillId="0" borderId="5" xfId="4" applyNumberFormat="1" applyFont="1" applyFill="1" applyBorder="1" applyAlignment="1">
      <alignment horizontal="center" vertical="center"/>
    </xf>
    <xf numFmtId="10" fontId="12" fillId="12" borderId="5" xfId="4" applyNumberFormat="1" applyFont="1" applyFill="1" applyBorder="1" applyAlignment="1">
      <alignment horizontal="center" vertical="center"/>
    </xf>
    <xf numFmtId="10" fontId="12" fillId="9" borderId="5" xfId="4" applyNumberFormat="1" applyFont="1" applyFill="1" applyBorder="1" applyAlignment="1">
      <alignment horizontal="center" vertical="center"/>
    </xf>
    <xf numFmtId="10" fontId="12" fillId="14" borderId="5" xfId="4" applyNumberFormat="1" applyFont="1" applyFill="1" applyBorder="1" applyAlignment="1">
      <alignment horizontal="center" vertical="center"/>
    </xf>
    <xf numFmtId="9" fontId="12" fillId="11" borderId="14" xfId="3" applyFont="1" applyFill="1" applyBorder="1" applyAlignment="1">
      <alignment horizontal="center" vertical="top" wrapText="1"/>
    </xf>
    <xf numFmtId="10" fontId="12" fillId="11" borderId="14" xfId="3" applyNumberFormat="1" applyFont="1" applyFill="1" applyBorder="1" applyAlignment="1">
      <alignment horizontal="center" vertical="top" wrapText="1"/>
    </xf>
    <xf numFmtId="9" fontId="12" fillId="11" borderId="14" xfId="3" applyFont="1" applyFill="1" applyBorder="1" applyAlignment="1">
      <alignment vertical="top"/>
    </xf>
    <xf numFmtId="10" fontId="18" fillId="0" borderId="14" xfId="3" applyNumberFormat="1" applyFont="1" applyBorder="1" applyAlignment="1">
      <alignment vertical="top"/>
    </xf>
    <xf numFmtId="9" fontId="12" fillId="0" borderId="14" xfId="3" applyFont="1" applyFill="1" applyBorder="1" applyAlignment="1">
      <alignment horizontal="center" vertical="top" wrapText="1"/>
    </xf>
    <xf numFmtId="10" fontId="12" fillId="0" borderId="14" xfId="3" applyNumberFormat="1" applyFont="1" applyFill="1" applyBorder="1" applyAlignment="1">
      <alignment horizontal="center" vertical="top" wrapText="1"/>
    </xf>
    <xf numFmtId="10" fontId="18" fillId="4" borderId="14" xfId="3" applyNumberFormat="1" applyFont="1" applyFill="1" applyBorder="1" applyAlignment="1">
      <alignment vertical="top"/>
    </xf>
    <xf numFmtId="10" fontId="12" fillId="4" borderId="14" xfId="3" applyNumberFormat="1" applyFont="1" applyFill="1" applyBorder="1" applyAlignment="1">
      <alignment vertical="top"/>
    </xf>
    <xf numFmtId="9" fontId="12" fillId="4" borderId="14" xfId="3" applyFont="1" applyFill="1" applyBorder="1" applyAlignment="1">
      <alignment horizontal="center" vertical="top" wrapText="1"/>
    </xf>
    <xf numFmtId="9" fontId="18" fillId="0" borderId="14" xfId="3" applyFont="1" applyFill="1" applyBorder="1" applyAlignment="1">
      <alignment horizontal="center" vertical="top" wrapText="1"/>
    </xf>
    <xf numFmtId="10" fontId="12" fillId="4" borderId="14" xfId="3" applyNumberFormat="1" applyFont="1" applyFill="1" applyBorder="1" applyAlignment="1">
      <alignment horizontal="center" vertical="top" wrapText="1"/>
    </xf>
    <xf numFmtId="9" fontId="12" fillId="4" borderId="14" xfId="4" applyNumberFormat="1" applyFont="1" applyFill="1" applyBorder="1" applyAlignment="1">
      <alignment vertical="top"/>
    </xf>
    <xf numFmtId="9" fontId="18" fillId="0" borderId="14" xfId="4" applyNumberFormat="1" applyFont="1" applyBorder="1" applyAlignment="1">
      <alignment vertical="top"/>
    </xf>
    <xf numFmtId="9" fontId="12" fillId="0" borderId="14" xfId="4" applyNumberFormat="1" applyFont="1" applyBorder="1" applyAlignment="1">
      <alignment vertical="top"/>
    </xf>
    <xf numFmtId="0" fontId="5" fillId="0" borderId="0" xfId="4" applyFont="1" applyFill="1">
      <alignment vertical="center"/>
    </xf>
    <xf numFmtId="166" fontId="18" fillId="0" borderId="0" xfId="1" applyNumberFormat="1" applyFont="1" applyFill="1" applyAlignment="1">
      <alignment vertical="center"/>
    </xf>
    <xf numFmtId="0" fontId="18" fillId="0" borderId="0" xfId="4" quotePrefix="1" applyFont="1" applyFill="1">
      <alignment vertical="center"/>
    </xf>
    <xf numFmtId="41" fontId="18" fillId="0" borderId="0" xfId="4" applyNumberFormat="1" applyFont="1" applyFill="1" applyAlignment="1">
      <alignment vertical="center" wrapText="1"/>
    </xf>
    <xf numFmtId="0" fontId="18" fillId="0" borderId="14" xfId="4" applyFont="1" applyBorder="1">
      <alignment vertical="center"/>
    </xf>
    <xf numFmtId="0" fontId="18" fillId="0" borderId="14" xfId="4" applyFont="1" applyFill="1" applyBorder="1">
      <alignment vertical="center"/>
    </xf>
    <xf numFmtId="0" fontId="20" fillId="0" borderId="14" xfId="4" applyFont="1" applyFill="1" applyBorder="1">
      <alignment vertical="center"/>
    </xf>
    <xf numFmtId="0" fontId="20" fillId="0" borderId="14" xfId="4" applyFont="1" applyBorder="1">
      <alignment vertical="center"/>
    </xf>
    <xf numFmtId="0" fontId="19" fillId="0" borderId="0" xfId="4" applyFont="1" applyAlignment="1">
      <alignment horizontal="left" vertical="center"/>
    </xf>
    <xf numFmtId="0" fontId="19" fillId="0" borderId="14" xfId="4" applyFont="1" applyBorder="1" applyAlignment="1">
      <alignment horizontal="left" vertical="center"/>
    </xf>
    <xf numFmtId="0" fontId="29" fillId="0" borderId="0" xfId="4" applyFont="1" applyAlignment="1">
      <alignment horizontal="left" vertical="center"/>
    </xf>
    <xf numFmtId="41" fontId="29" fillId="12" borderId="0" xfId="4" applyNumberFormat="1" applyFont="1" applyFill="1" applyAlignment="1">
      <alignment horizontal="left" vertical="center"/>
    </xf>
    <xf numFmtId="166" fontId="29" fillId="4" borderId="0" xfId="4" applyNumberFormat="1" applyFont="1" applyFill="1" applyAlignment="1">
      <alignment horizontal="left" vertical="center"/>
    </xf>
    <xf numFmtId="166" fontId="29" fillId="0" borderId="15" xfId="4" applyNumberFormat="1" applyFont="1" applyFill="1" applyBorder="1" applyAlignment="1">
      <alignment vertical="center"/>
    </xf>
    <xf numFmtId="166" fontId="29" fillId="0" borderId="6" xfId="4" applyNumberFormat="1" applyFont="1" applyFill="1" applyBorder="1" applyAlignment="1">
      <alignment vertical="center"/>
    </xf>
    <xf numFmtId="166" fontId="29" fillId="0" borderId="13" xfId="4" applyNumberFormat="1" applyFont="1" applyFill="1" applyBorder="1" applyAlignment="1">
      <alignment vertical="center"/>
    </xf>
    <xf numFmtId="0" fontId="19" fillId="0" borderId="6" xfId="4" applyFont="1" applyBorder="1" applyAlignment="1">
      <alignment vertical="center"/>
    </xf>
    <xf numFmtId="0" fontId="19" fillId="0" borderId="13" xfId="4" applyFont="1" applyBorder="1" applyAlignment="1">
      <alignment vertical="center"/>
    </xf>
    <xf numFmtId="0" fontId="23" fillId="0" borderId="14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0" fillId="0" borderId="14" xfId="0" applyFont="1" applyBorder="1">
      <alignment vertical="center"/>
    </xf>
    <xf numFmtId="0" fontId="23" fillId="0" borderId="14" xfId="0" applyFont="1" applyBorder="1" applyAlignment="1">
      <alignment horizontal="left" vertical="center" indent="5"/>
    </xf>
    <xf numFmtId="10" fontId="18" fillId="0" borderId="14" xfId="4" applyNumberFormat="1" applyFont="1" applyBorder="1">
      <alignment vertical="center"/>
    </xf>
    <xf numFmtId="0" fontId="28" fillId="0" borderId="14" xfId="4" applyFont="1" applyFill="1" applyBorder="1">
      <alignment vertical="center"/>
    </xf>
    <xf numFmtId="0" fontId="27" fillId="0" borderId="14" xfId="4" applyFont="1" applyFill="1" applyBorder="1">
      <alignment vertical="center"/>
    </xf>
    <xf numFmtId="41" fontId="27" fillId="0" borderId="14" xfId="2" applyFont="1" applyFill="1" applyBorder="1" applyAlignment="1">
      <alignment vertical="center" wrapText="1"/>
    </xf>
    <xf numFmtId="41" fontId="27" fillId="0" borderId="14" xfId="2" applyFont="1" applyFill="1" applyBorder="1" applyAlignment="1">
      <alignment vertical="center"/>
    </xf>
    <xf numFmtId="0" fontId="6" fillId="11" borderId="13" xfId="4" applyFont="1" applyFill="1" applyBorder="1" applyAlignment="1">
      <alignment horizontal="left" vertical="center"/>
    </xf>
    <xf numFmtId="0" fontId="6" fillId="11" borderId="15" xfId="4" applyFont="1" applyFill="1" applyBorder="1" applyAlignment="1">
      <alignment vertical="center"/>
    </xf>
    <xf numFmtId="0" fontId="6" fillId="11" borderId="13" xfId="4" applyFont="1" applyFill="1" applyBorder="1" applyAlignment="1">
      <alignment vertical="center"/>
    </xf>
    <xf numFmtId="0" fontId="6" fillId="11" borderId="14" xfId="4" applyFont="1" applyFill="1" applyBorder="1" applyAlignment="1">
      <alignment horizontal="center" vertical="center"/>
    </xf>
    <xf numFmtId="0" fontId="32" fillId="7" borderId="6" xfId="4" applyFont="1" applyFill="1" applyBorder="1" applyAlignment="1">
      <alignment vertical="center"/>
    </xf>
    <xf numFmtId="10" fontId="18" fillId="0" borderId="14" xfId="3" applyNumberFormat="1" applyFont="1" applyBorder="1" applyAlignment="1">
      <alignment vertical="center"/>
    </xf>
    <xf numFmtId="0" fontId="28" fillId="0" borderId="0" xfId="4" applyFont="1">
      <alignment vertical="center"/>
    </xf>
    <xf numFmtId="0" fontId="29" fillId="0" borderId="0" xfId="4" applyFont="1" applyAlignment="1">
      <alignment vertical="center"/>
    </xf>
    <xf numFmtId="0" fontId="30" fillId="0" borderId="0" xfId="4" applyFont="1">
      <alignment vertical="center"/>
    </xf>
    <xf numFmtId="0" fontId="34" fillId="0" borderId="0" xfId="69" applyFont="1"/>
    <xf numFmtId="0" fontId="2" fillId="0" borderId="0" xfId="69"/>
    <xf numFmtId="166" fontId="2" fillId="0" borderId="0" xfId="69" applyNumberFormat="1"/>
    <xf numFmtId="0" fontId="37" fillId="0" borderId="0" xfId="69" applyFont="1"/>
    <xf numFmtId="0" fontId="35" fillId="0" borderId="5" xfId="69" applyFont="1" applyBorder="1" applyAlignment="1">
      <alignment horizontal="center" vertical="center" wrapText="1" readingOrder="1"/>
    </xf>
    <xf numFmtId="49" fontId="36" fillId="0" borderId="5" xfId="69" quotePrefix="1" applyNumberFormat="1" applyFont="1" applyBorder="1" applyAlignment="1">
      <alignment horizontal="center" vertical="center"/>
    </xf>
    <xf numFmtId="49" fontId="36" fillId="0" borderId="14" xfId="69" quotePrefix="1" applyNumberFormat="1" applyFont="1" applyBorder="1" applyAlignment="1">
      <alignment horizontal="center" vertical="center" wrapText="1"/>
    </xf>
    <xf numFmtId="0" fontId="38" fillId="0" borderId="0" xfId="69" applyFont="1"/>
    <xf numFmtId="0" fontId="35" fillId="17" borderId="15" xfId="69" quotePrefix="1" applyFont="1" applyFill="1" applyBorder="1" applyAlignment="1">
      <alignment horizontal="center" vertical="center" wrapText="1" readingOrder="1"/>
    </xf>
    <xf numFmtId="0" fontId="35" fillId="17" borderId="6" xfId="69" quotePrefix="1" applyFont="1" applyFill="1" applyBorder="1" applyAlignment="1">
      <alignment horizontal="center" vertical="center" wrapText="1" readingOrder="1"/>
    </xf>
    <xf numFmtId="0" fontId="39" fillId="17" borderId="6" xfId="69" applyFont="1" applyFill="1" applyBorder="1" applyAlignment="1">
      <alignment horizontal="center" vertical="center" wrapText="1" readingOrder="1"/>
    </xf>
    <xf numFmtId="0" fontId="39" fillId="17" borderId="13" xfId="69" applyFont="1" applyFill="1" applyBorder="1" applyAlignment="1">
      <alignment horizontal="center" vertical="center" wrapText="1" readingOrder="1"/>
    </xf>
    <xf numFmtId="0" fontId="35" fillId="17" borderId="14" xfId="69" applyFont="1" applyFill="1" applyBorder="1" applyAlignment="1">
      <alignment horizontal="left" vertical="center" wrapText="1" readingOrder="1"/>
    </xf>
    <xf numFmtId="3" fontId="35" fillId="17" borderId="14" xfId="69" applyNumberFormat="1" applyFont="1" applyFill="1" applyBorder="1" applyAlignment="1">
      <alignment horizontal="right" vertical="center" wrapText="1" readingOrder="1"/>
    </xf>
    <xf numFmtId="166" fontId="35" fillId="17" borderId="14" xfId="72" applyNumberFormat="1" applyFont="1" applyFill="1" applyBorder="1" applyAlignment="1">
      <alignment horizontal="right" vertical="center" wrapText="1" readingOrder="1"/>
    </xf>
    <xf numFmtId="166" fontId="38" fillId="17" borderId="14" xfId="72" applyNumberFormat="1" applyFont="1" applyFill="1" applyBorder="1" applyAlignment="1">
      <alignment vertical="center"/>
    </xf>
    <xf numFmtId="166" fontId="35" fillId="17" borderId="14" xfId="72" applyNumberFormat="1" applyFont="1" applyFill="1" applyBorder="1" applyAlignment="1">
      <alignment horizontal="right" vertical="center" wrapText="1"/>
    </xf>
    <xf numFmtId="10" fontId="38" fillId="17" borderId="14" xfId="73" applyNumberFormat="1" applyFont="1" applyFill="1" applyBorder="1"/>
    <xf numFmtId="0" fontId="35" fillId="0" borderId="10" xfId="69" applyFont="1" applyBorder="1" applyAlignment="1">
      <alignment horizontal="center" vertical="center" wrapText="1" readingOrder="1"/>
    </xf>
    <xf numFmtId="0" fontId="35" fillId="0" borderId="18" xfId="69" applyFont="1" applyBorder="1" applyAlignment="1">
      <alignment horizontal="center" vertical="center" wrapText="1" readingOrder="1"/>
    </xf>
    <xf numFmtId="0" fontId="35" fillId="0" borderId="11" xfId="69" applyFont="1" applyBorder="1" applyAlignment="1">
      <alignment horizontal="center" vertical="center" wrapText="1" readingOrder="1"/>
    </xf>
    <xf numFmtId="0" fontId="38" fillId="3" borderId="12" xfId="69" applyFont="1" applyFill="1" applyBorder="1" applyAlignment="1">
      <alignment vertical="center" wrapText="1"/>
    </xf>
    <xf numFmtId="0" fontId="35" fillId="0" borderId="12" xfId="69" applyFont="1" applyBorder="1" applyAlignment="1">
      <alignment horizontal="center" vertical="center" wrapText="1" readingOrder="1"/>
    </xf>
    <xf numFmtId="166" fontId="35" fillId="0" borderId="12" xfId="72" applyNumberFormat="1" applyFont="1" applyBorder="1" applyAlignment="1">
      <alignment horizontal="center" vertical="center" wrapText="1" readingOrder="1"/>
    </xf>
    <xf numFmtId="166" fontId="38" fillId="0" borderId="14" xfId="72" applyNumberFormat="1" applyFont="1" applyBorder="1" applyAlignment="1">
      <alignment vertical="center"/>
    </xf>
    <xf numFmtId="166" fontId="35" fillId="0" borderId="12" xfId="72" applyNumberFormat="1" applyFont="1" applyBorder="1" applyAlignment="1">
      <alignment horizontal="center" vertical="center" wrapText="1"/>
    </xf>
    <xf numFmtId="10" fontId="38" fillId="0" borderId="14" xfId="73" applyNumberFormat="1" applyFont="1" applyBorder="1"/>
    <xf numFmtId="0" fontId="38" fillId="18" borderId="10" xfId="69" applyFont="1" applyFill="1" applyBorder="1" applyAlignment="1">
      <alignment horizontal="center" vertical="center" wrapText="1"/>
    </xf>
    <xf numFmtId="0" fontId="38" fillId="18" borderId="18" xfId="69" quotePrefix="1" applyFont="1" applyFill="1" applyBorder="1" applyAlignment="1">
      <alignment horizontal="center" vertical="center" wrapText="1"/>
    </xf>
    <xf numFmtId="0" fontId="38" fillId="18" borderId="18" xfId="69" applyFont="1" applyFill="1" applyBorder="1" applyAlignment="1">
      <alignment horizontal="center" vertical="center" wrapText="1"/>
    </xf>
    <xf numFmtId="0" fontId="38" fillId="18" borderId="11" xfId="69" applyFont="1" applyFill="1" applyBorder="1" applyAlignment="1">
      <alignment horizontal="center" vertical="center" wrapText="1"/>
    </xf>
    <xf numFmtId="0" fontId="38" fillId="18" borderId="12" xfId="69" applyFont="1" applyFill="1" applyBorder="1" applyAlignment="1">
      <alignment vertical="center" wrapText="1"/>
    </xf>
    <xf numFmtId="3" fontId="38" fillId="18" borderId="12" xfId="69" applyNumberFormat="1" applyFont="1" applyFill="1" applyBorder="1" applyAlignment="1">
      <alignment vertical="center" wrapText="1"/>
    </xf>
    <xf numFmtId="166" fontId="38" fillId="19" borderId="12" xfId="72" applyNumberFormat="1" applyFont="1" applyFill="1" applyBorder="1" applyAlignment="1">
      <alignment vertical="center" wrapText="1"/>
    </xf>
    <xf numFmtId="166" fontId="38" fillId="19" borderId="14" xfId="72" applyNumberFormat="1" applyFont="1" applyFill="1" applyBorder="1" applyAlignment="1">
      <alignment vertical="center"/>
    </xf>
    <xf numFmtId="166" fontId="38" fillId="19" borderId="14" xfId="72" applyNumberFormat="1" applyFont="1" applyFill="1" applyBorder="1" applyAlignment="1">
      <alignment horizontal="center" vertical="center"/>
    </xf>
    <xf numFmtId="10" fontId="38" fillId="19" borderId="14" xfId="73" applyNumberFormat="1" applyFont="1" applyFill="1" applyBorder="1" applyAlignment="1">
      <alignment horizontal="center" vertical="center"/>
    </xf>
    <xf numFmtId="166" fontId="37" fillId="0" borderId="0" xfId="69" applyNumberFormat="1" applyFont="1"/>
    <xf numFmtId="0" fontId="38" fillId="3" borderId="10" xfId="69" applyFont="1" applyFill="1" applyBorder="1" applyAlignment="1">
      <alignment horizontal="center" vertical="center" wrapText="1"/>
    </xf>
    <xf numFmtId="0" fontId="38" fillId="3" borderId="18" xfId="69" applyFont="1" applyFill="1" applyBorder="1" applyAlignment="1">
      <alignment horizontal="center" vertical="center" wrapText="1"/>
    </xf>
    <xf numFmtId="0" fontId="38" fillId="3" borderId="11" xfId="69" applyFont="1" applyFill="1" applyBorder="1" applyAlignment="1">
      <alignment horizontal="center" vertical="center" wrapText="1"/>
    </xf>
    <xf numFmtId="3" fontId="38" fillId="3" borderId="12" xfId="69" applyNumberFormat="1" applyFont="1" applyFill="1" applyBorder="1" applyAlignment="1">
      <alignment vertical="center" wrapText="1"/>
    </xf>
    <xf numFmtId="166" fontId="38" fillId="3" borderId="12" xfId="72" applyNumberFormat="1" applyFont="1" applyFill="1" applyBorder="1" applyAlignment="1">
      <alignment vertical="center" wrapText="1"/>
    </xf>
    <xf numFmtId="0" fontId="38" fillId="15" borderId="15" xfId="69" applyFont="1" applyFill="1" applyBorder="1" applyAlignment="1">
      <alignment horizontal="center" vertical="center"/>
    </xf>
    <xf numFmtId="0" fontId="38" fillId="15" borderId="6" xfId="69" quotePrefix="1" applyFont="1" applyFill="1" applyBorder="1" applyAlignment="1">
      <alignment horizontal="center" vertical="center"/>
    </xf>
    <xf numFmtId="0" fontId="38" fillId="15" borderId="6" xfId="69" applyFont="1" applyFill="1" applyBorder="1" applyAlignment="1">
      <alignment horizontal="center" vertical="center"/>
    </xf>
    <xf numFmtId="0" fontId="38" fillId="15" borderId="13" xfId="69" applyFont="1" applyFill="1" applyBorder="1" applyAlignment="1">
      <alignment horizontal="center" vertical="center"/>
    </xf>
    <xf numFmtId="0" fontId="38" fillId="15" borderId="14" xfId="69" applyFont="1" applyFill="1" applyBorder="1" applyAlignment="1">
      <alignment vertical="center" wrapText="1"/>
    </xf>
    <xf numFmtId="3" fontId="38" fillId="15" borderId="14" xfId="69" applyNumberFormat="1" applyFont="1" applyFill="1" applyBorder="1" applyAlignment="1">
      <alignment vertical="center"/>
    </xf>
    <xf numFmtId="166" fontId="38" fillId="15" borderId="14" xfId="72" applyNumberFormat="1" applyFont="1" applyFill="1" applyBorder="1" applyAlignment="1">
      <alignment vertical="center"/>
    </xf>
    <xf numFmtId="10" fontId="38" fillId="15" borderId="14" xfId="73" applyNumberFormat="1" applyFont="1" applyFill="1" applyBorder="1"/>
    <xf numFmtId="0" fontId="38" fillId="3" borderId="15" xfId="69" applyFont="1" applyFill="1" applyBorder="1" applyAlignment="1">
      <alignment horizontal="center" vertical="center"/>
    </xf>
    <xf numFmtId="0" fontId="38" fillId="3" borderId="6" xfId="69" applyFont="1" applyFill="1" applyBorder="1" applyAlignment="1">
      <alignment horizontal="center" vertical="center"/>
    </xf>
    <xf numFmtId="0" fontId="38" fillId="3" borderId="13" xfId="69" applyFont="1" applyFill="1" applyBorder="1" applyAlignment="1">
      <alignment horizontal="center" vertical="center"/>
    </xf>
    <xf numFmtId="0" fontId="38" fillId="3" borderId="14" xfId="69" applyFont="1" applyFill="1" applyBorder="1" applyAlignment="1">
      <alignment vertical="center"/>
    </xf>
    <xf numFmtId="3" fontId="38" fillId="3" borderId="14" xfId="69" applyNumberFormat="1" applyFont="1" applyFill="1" applyBorder="1" applyAlignment="1">
      <alignment vertical="center"/>
    </xf>
    <xf numFmtId="166" fontId="38" fillId="3" borderId="14" xfId="72" applyNumberFormat="1" applyFont="1" applyFill="1" applyBorder="1" applyAlignment="1">
      <alignment vertical="center"/>
    </xf>
    <xf numFmtId="0" fontId="38" fillId="10" borderId="15" xfId="69" applyFont="1" applyFill="1" applyBorder="1" applyAlignment="1">
      <alignment horizontal="center" vertical="center"/>
    </xf>
    <xf numFmtId="0" fontId="38" fillId="10" borderId="6" xfId="69" quotePrefix="1" applyFont="1" applyFill="1" applyBorder="1" applyAlignment="1">
      <alignment horizontal="center" vertical="center"/>
    </xf>
    <xf numFmtId="0" fontId="38" fillId="10" borderId="6" xfId="69" applyFont="1" applyFill="1" applyBorder="1" applyAlignment="1">
      <alignment horizontal="center" vertical="center"/>
    </xf>
    <xf numFmtId="0" fontId="38" fillId="10" borderId="13" xfId="69" applyFont="1" applyFill="1" applyBorder="1" applyAlignment="1">
      <alignment horizontal="center" vertical="center"/>
    </xf>
    <xf numFmtId="0" fontId="38" fillId="10" borderId="14" xfId="69" applyFont="1" applyFill="1" applyBorder="1" applyAlignment="1">
      <alignment vertical="center"/>
    </xf>
    <xf numFmtId="3" fontId="38" fillId="10" borderId="14" xfId="69" applyNumberFormat="1" applyFont="1" applyFill="1" applyBorder="1" applyAlignment="1">
      <alignment vertical="center"/>
    </xf>
    <xf numFmtId="166" fontId="38" fillId="12" borderId="14" xfId="72" applyNumberFormat="1" applyFont="1" applyFill="1" applyBorder="1" applyAlignment="1">
      <alignment vertical="center"/>
    </xf>
    <xf numFmtId="10" fontId="38" fillId="20" borderId="14" xfId="73" applyNumberFormat="1" applyFont="1" applyFill="1" applyBorder="1"/>
    <xf numFmtId="0" fontId="38" fillId="3" borderId="6" xfId="69" quotePrefix="1" applyFont="1" applyFill="1" applyBorder="1" applyAlignment="1">
      <alignment horizontal="center" vertical="center"/>
    </xf>
    <xf numFmtId="0" fontId="37" fillId="3" borderId="15" xfId="69" applyFont="1" applyFill="1" applyBorder="1" applyAlignment="1">
      <alignment horizontal="center" vertical="center"/>
    </xf>
    <xf numFmtId="0" fontId="37" fillId="3" borderId="6" xfId="69" quotePrefix="1" applyFont="1" applyFill="1" applyBorder="1" applyAlignment="1">
      <alignment horizontal="center" vertical="center"/>
    </xf>
    <xf numFmtId="0" fontId="37" fillId="3" borderId="6" xfId="69" applyFont="1" applyFill="1" applyBorder="1" applyAlignment="1">
      <alignment horizontal="center" vertical="center"/>
    </xf>
    <xf numFmtId="0" fontId="37" fillId="3" borderId="13" xfId="69" applyFont="1" applyFill="1" applyBorder="1" applyAlignment="1">
      <alignment horizontal="center" vertical="center"/>
    </xf>
    <xf numFmtId="0" fontId="37" fillId="0" borderId="14" xfId="69" applyFont="1" applyBorder="1" applyAlignment="1">
      <alignment vertical="center"/>
    </xf>
    <xf numFmtId="3" fontId="37" fillId="0" borderId="14" xfId="69" applyNumberFormat="1" applyFont="1" applyBorder="1" applyAlignment="1">
      <alignment vertical="center"/>
    </xf>
    <xf numFmtId="166" fontId="37" fillId="0" borderId="14" xfId="72" applyNumberFormat="1" applyFont="1" applyBorder="1" applyAlignment="1">
      <alignment vertical="center"/>
    </xf>
    <xf numFmtId="10" fontId="37" fillId="0" borderId="14" xfId="73" applyNumberFormat="1" applyFont="1" applyBorder="1"/>
    <xf numFmtId="166" fontId="37" fillId="0" borderId="0" xfId="72" applyNumberFormat="1" applyFont="1"/>
    <xf numFmtId="0" fontId="37" fillId="3" borderId="14" xfId="69" applyFont="1" applyFill="1" applyBorder="1" applyAlignment="1">
      <alignment vertical="center"/>
    </xf>
    <xf numFmtId="3" fontId="37" fillId="3" borderId="0" xfId="69" applyNumberFormat="1" applyFont="1" applyFill="1" applyAlignment="1">
      <alignment vertical="center"/>
    </xf>
    <xf numFmtId="166" fontId="37" fillId="3" borderId="14" xfId="72" applyNumberFormat="1" applyFont="1" applyFill="1" applyBorder="1" applyAlignment="1">
      <alignment vertical="center"/>
    </xf>
    <xf numFmtId="10" fontId="37" fillId="3" borderId="14" xfId="73" applyNumberFormat="1" applyFont="1" applyFill="1" applyBorder="1"/>
    <xf numFmtId="0" fontId="37" fillId="3" borderId="0" xfId="69" applyFont="1" applyFill="1"/>
    <xf numFmtId="0" fontId="37" fillId="0" borderId="6" xfId="69" quotePrefix="1" applyFont="1" applyBorder="1" applyAlignment="1">
      <alignment horizontal="center" vertical="center"/>
    </xf>
    <xf numFmtId="3" fontId="37" fillId="3" borderId="14" xfId="69" applyNumberFormat="1" applyFont="1" applyFill="1" applyBorder="1" applyAlignment="1">
      <alignment vertical="center"/>
    </xf>
    <xf numFmtId="0" fontId="37" fillId="0" borderId="6" xfId="69" applyFont="1" applyBorder="1" applyAlignment="1">
      <alignment horizontal="center" vertical="center"/>
    </xf>
    <xf numFmtId="10" fontId="38" fillId="0" borderId="14" xfId="73" applyNumberFormat="1" applyFont="1" applyBorder="1" applyAlignment="1">
      <alignment vertical="center"/>
    </xf>
    <xf numFmtId="0" fontId="38" fillId="0" borderId="14" xfId="69" applyFont="1" applyBorder="1" applyAlignment="1">
      <alignment vertical="center" wrapText="1"/>
    </xf>
    <xf numFmtId="3" fontId="38" fillId="0" borderId="14" xfId="69" applyNumberFormat="1" applyFont="1" applyBorder="1" applyAlignment="1">
      <alignment vertical="center"/>
    </xf>
    <xf numFmtId="0" fontId="37" fillId="0" borderId="14" xfId="69" applyFont="1" applyBorder="1" applyAlignment="1">
      <alignment vertical="center" wrapText="1"/>
    </xf>
    <xf numFmtId="10" fontId="37" fillId="0" borderId="14" xfId="73" applyNumberFormat="1" applyFont="1" applyBorder="1" applyAlignment="1">
      <alignment vertical="center"/>
    </xf>
    <xf numFmtId="166" fontId="37" fillId="0" borderId="14" xfId="72" applyNumberFormat="1" applyFont="1" applyBorder="1"/>
    <xf numFmtId="0" fontId="38" fillId="10" borderId="14" xfId="69" applyFont="1" applyFill="1" applyBorder="1" applyAlignment="1">
      <alignment vertical="center" wrapText="1"/>
    </xf>
    <xf numFmtId="10" fontId="38" fillId="12" borderId="14" xfId="73" applyNumberFormat="1" applyFont="1" applyFill="1" applyBorder="1"/>
    <xf numFmtId="0" fontId="38" fillId="3" borderId="14" xfId="69" applyFont="1" applyFill="1" applyBorder="1" applyAlignment="1">
      <alignment vertical="center" wrapText="1"/>
    </xf>
    <xf numFmtId="166" fontId="37" fillId="15" borderId="14" xfId="72" applyNumberFormat="1" applyFont="1" applyFill="1" applyBorder="1" applyAlignment="1">
      <alignment vertical="center"/>
    </xf>
    <xf numFmtId="0" fontId="38" fillId="0" borderId="14" xfId="69" applyFont="1" applyBorder="1" applyAlignment="1">
      <alignment vertical="center"/>
    </xf>
    <xf numFmtId="0" fontId="37" fillId="0" borderId="15" xfId="69" applyFont="1" applyBorder="1" applyAlignment="1">
      <alignment horizontal="center" vertical="center"/>
    </xf>
    <xf numFmtId="0" fontId="37" fillId="0" borderId="13" xfId="69" applyFont="1" applyBorder="1" applyAlignment="1">
      <alignment horizontal="center" vertical="center"/>
    </xf>
    <xf numFmtId="0" fontId="38" fillId="0" borderId="15" xfId="69" applyFont="1" applyBorder="1" applyAlignment="1">
      <alignment horizontal="center" vertical="center"/>
    </xf>
    <xf numFmtId="0" fontId="38" fillId="0" borderId="6" xfId="69" quotePrefix="1" applyFont="1" applyBorder="1" applyAlignment="1">
      <alignment horizontal="center" vertical="center"/>
    </xf>
    <xf numFmtId="0" fontId="38" fillId="0" borderId="6" xfId="69" applyFont="1" applyBorder="1" applyAlignment="1">
      <alignment horizontal="center" vertical="center"/>
    </xf>
    <xf numFmtId="0" fontId="38" fillId="0" borderId="13" xfId="69" applyFont="1" applyBorder="1" applyAlignment="1">
      <alignment horizontal="center" vertical="center"/>
    </xf>
    <xf numFmtId="0" fontId="40" fillId="15" borderId="15" xfId="69" applyFont="1" applyFill="1" applyBorder="1" applyAlignment="1">
      <alignment horizontal="center" vertical="center"/>
    </xf>
    <xf numFmtId="0" fontId="40" fillId="15" borderId="6" xfId="69" quotePrefix="1" applyFont="1" applyFill="1" applyBorder="1" applyAlignment="1">
      <alignment horizontal="center" vertical="center"/>
    </xf>
    <xf numFmtId="0" fontId="40" fillId="15" borderId="6" xfId="69" applyFont="1" applyFill="1" applyBorder="1" applyAlignment="1">
      <alignment horizontal="center" vertical="center"/>
    </xf>
    <xf numFmtId="0" fontId="40" fillId="15" borderId="13" xfId="69" applyFont="1" applyFill="1" applyBorder="1" applyAlignment="1">
      <alignment horizontal="center" vertical="center"/>
    </xf>
    <xf numFmtId="0" fontId="40" fillId="15" borderId="14" xfId="69" applyFont="1" applyFill="1" applyBorder="1" applyAlignment="1">
      <alignment vertical="center" wrapText="1"/>
    </xf>
    <xf numFmtId="0" fontId="40" fillId="3" borderId="15" xfId="69" applyFont="1" applyFill="1" applyBorder="1" applyAlignment="1">
      <alignment horizontal="center" vertical="center"/>
    </xf>
    <xf numFmtId="0" fontId="40" fillId="3" borderId="6" xfId="69" quotePrefix="1" applyFont="1" applyFill="1" applyBorder="1" applyAlignment="1">
      <alignment horizontal="center" vertical="center"/>
    </xf>
    <xf numFmtId="0" fontId="40" fillId="3" borderId="6" xfId="69" applyFont="1" applyFill="1" applyBorder="1" applyAlignment="1">
      <alignment horizontal="center" vertical="center"/>
    </xf>
    <xf numFmtId="0" fontId="40" fillId="3" borderId="13" xfId="69" applyFont="1" applyFill="1" applyBorder="1" applyAlignment="1">
      <alignment horizontal="center" vertical="center"/>
    </xf>
    <xf numFmtId="0" fontId="40" fillId="3" borderId="14" xfId="69" applyFont="1" applyFill="1" applyBorder="1" applyAlignment="1">
      <alignment vertical="center" wrapText="1"/>
    </xf>
    <xf numFmtId="0" fontId="40" fillId="12" borderId="15" xfId="69" applyFont="1" applyFill="1" applyBorder="1" applyAlignment="1">
      <alignment horizontal="center" vertical="center"/>
    </xf>
    <xf numFmtId="0" fontId="40" fillId="12" borderId="6" xfId="69" quotePrefix="1" applyFont="1" applyFill="1" applyBorder="1" applyAlignment="1">
      <alignment horizontal="center" vertical="center"/>
    </xf>
    <xf numFmtId="0" fontId="40" fillId="12" borderId="6" xfId="69" applyFont="1" applyFill="1" applyBorder="1" applyAlignment="1">
      <alignment horizontal="center" vertical="center"/>
    </xf>
    <xf numFmtId="0" fontId="41" fillId="12" borderId="6" xfId="69" applyFont="1" applyFill="1" applyBorder="1" applyAlignment="1">
      <alignment horizontal="center" vertical="center"/>
    </xf>
    <xf numFmtId="0" fontId="41" fillId="12" borderId="13" xfId="69" applyFont="1" applyFill="1" applyBorder="1" applyAlignment="1">
      <alignment horizontal="center" vertical="center"/>
    </xf>
    <xf numFmtId="0" fontId="40" fillId="12" borderId="14" xfId="69" applyFont="1" applyFill="1" applyBorder="1" applyAlignment="1">
      <alignment vertical="center" wrapText="1"/>
    </xf>
    <xf numFmtId="3" fontId="38" fillId="20" borderId="14" xfId="69" applyNumberFormat="1" applyFont="1" applyFill="1" applyBorder="1" applyAlignment="1">
      <alignment vertical="center"/>
    </xf>
    <xf numFmtId="166" fontId="37" fillId="20" borderId="14" xfId="72" applyNumberFormat="1" applyFont="1" applyFill="1" applyBorder="1" applyAlignment="1">
      <alignment vertical="center"/>
    </xf>
    <xf numFmtId="10" fontId="37" fillId="20" borderId="14" xfId="73" applyNumberFormat="1" applyFont="1" applyFill="1" applyBorder="1"/>
    <xf numFmtId="0" fontId="40" fillId="0" borderId="15" xfId="69" applyFont="1" applyBorder="1" applyAlignment="1">
      <alignment horizontal="center" vertical="center"/>
    </xf>
    <xf numFmtId="0" fontId="40" fillId="0" borderId="6" xfId="69" quotePrefix="1" applyFont="1" applyBorder="1" applyAlignment="1">
      <alignment horizontal="center" vertical="center"/>
    </xf>
    <xf numFmtId="0" fontId="41" fillId="0" borderId="6" xfId="69" applyFont="1" applyBorder="1" applyAlignment="1">
      <alignment horizontal="center" vertical="center"/>
    </xf>
    <xf numFmtId="0" fontId="41" fillId="0" borderId="13" xfId="69" applyFont="1" applyBorder="1" applyAlignment="1">
      <alignment horizontal="center" vertical="center"/>
    </xf>
    <xf numFmtId="0" fontId="40" fillId="0" borderId="14" xfId="69" applyFont="1" applyBorder="1" applyAlignment="1">
      <alignment vertical="center" wrapText="1"/>
    </xf>
    <xf numFmtId="0" fontId="41" fillId="0" borderId="15" xfId="69" applyFont="1" applyBorder="1" applyAlignment="1">
      <alignment horizontal="center" vertical="center"/>
    </xf>
    <xf numFmtId="0" fontId="41" fillId="0" borderId="6" xfId="69" quotePrefix="1" applyFont="1" applyBorder="1" applyAlignment="1">
      <alignment horizontal="center" vertical="center"/>
    </xf>
    <xf numFmtId="0" fontId="41" fillId="3" borderId="6" xfId="69" applyFont="1" applyFill="1" applyBorder="1" applyAlignment="1">
      <alignment horizontal="center" vertical="center"/>
    </xf>
    <xf numFmtId="0" fontId="41" fillId="3" borderId="6" xfId="69" quotePrefix="1" applyFont="1" applyFill="1" applyBorder="1" applyAlignment="1">
      <alignment horizontal="center" vertical="center"/>
    </xf>
    <xf numFmtId="0" fontId="41" fillId="0" borderId="14" xfId="69" applyFont="1" applyBorder="1" applyAlignment="1">
      <alignment vertical="center"/>
    </xf>
    <xf numFmtId="0" fontId="40" fillId="0" borderId="14" xfId="69" applyFont="1" applyBorder="1" applyAlignment="1">
      <alignment vertical="center"/>
    </xf>
    <xf numFmtId="0" fontId="41" fillId="3" borderId="15" xfId="69" applyFont="1" applyFill="1" applyBorder="1" applyAlignment="1">
      <alignment horizontal="center" vertical="center"/>
    </xf>
    <xf numFmtId="0" fontId="41" fillId="0" borderId="14" xfId="69" applyFont="1" applyBorder="1" applyAlignment="1">
      <alignment vertical="center" wrapText="1"/>
    </xf>
    <xf numFmtId="0" fontId="37" fillId="0" borderId="13" xfId="69" quotePrefix="1" applyFont="1" applyBorder="1" applyAlignment="1">
      <alignment horizontal="center" vertical="center"/>
    </xf>
    <xf numFmtId="0" fontId="37" fillId="0" borderId="2" xfId="69" applyFont="1" applyBorder="1" applyAlignment="1">
      <alignment horizontal="center" vertical="center"/>
    </xf>
    <xf numFmtId="0" fontId="37" fillId="0" borderId="4" xfId="69" applyFont="1" applyBorder="1" applyAlignment="1">
      <alignment horizontal="center" vertical="center"/>
    </xf>
    <xf numFmtId="0" fontId="37" fillId="0" borderId="3" xfId="69" applyFont="1" applyBorder="1" applyAlignment="1">
      <alignment horizontal="center" vertical="center"/>
    </xf>
    <xf numFmtId="0" fontId="37" fillId="0" borderId="5" xfId="69" applyFont="1" applyBorder="1" applyAlignment="1">
      <alignment vertical="center"/>
    </xf>
    <xf numFmtId="3" fontId="37" fillId="0" borderId="5" xfId="69" applyNumberFormat="1" applyFont="1" applyBorder="1" applyAlignment="1">
      <alignment vertical="center"/>
    </xf>
    <xf numFmtId="0" fontId="38" fillId="18" borderId="15" xfId="69" applyFont="1" applyFill="1" applyBorder="1" applyAlignment="1">
      <alignment horizontal="center" vertical="center" wrapText="1"/>
    </xf>
    <xf numFmtId="0" fontId="38" fillId="18" borderId="6" xfId="69" quotePrefix="1" applyFont="1" applyFill="1" applyBorder="1" applyAlignment="1">
      <alignment horizontal="center" vertical="center" wrapText="1"/>
    </xf>
    <xf numFmtId="0" fontId="38" fillId="18" borderId="6" xfId="69" applyFont="1" applyFill="1" applyBorder="1" applyAlignment="1">
      <alignment horizontal="center" vertical="center" wrapText="1"/>
    </xf>
    <xf numFmtId="0" fontId="38" fillId="18" borderId="13" xfId="69" applyFont="1" applyFill="1" applyBorder="1" applyAlignment="1">
      <alignment horizontal="center" vertical="center" wrapText="1"/>
    </xf>
    <xf numFmtId="0" fontId="38" fillId="18" borderId="14" xfId="69" applyFont="1" applyFill="1" applyBorder="1" applyAlignment="1">
      <alignment vertical="center" wrapText="1"/>
    </xf>
    <xf numFmtId="3" fontId="38" fillId="18" borderId="14" xfId="69" applyNumberFormat="1" applyFont="1" applyFill="1" applyBorder="1" applyAlignment="1">
      <alignment vertical="center" wrapText="1"/>
    </xf>
    <xf numFmtId="10" fontId="38" fillId="19" borderId="14" xfId="73" applyNumberFormat="1" applyFont="1" applyFill="1" applyBorder="1"/>
    <xf numFmtId="0" fontId="38" fillId="15" borderId="15" xfId="69" applyFont="1" applyFill="1" applyBorder="1" applyAlignment="1">
      <alignment horizontal="center" vertical="center" wrapText="1"/>
    </xf>
    <xf numFmtId="0" fontId="38" fillId="15" borderId="6" xfId="69" quotePrefix="1" applyFont="1" applyFill="1" applyBorder="1" applyAlignment="1">
      <alignment horizontal="center" vertical="center" wrapText="1"/>
    </xf>
    <xf numFmtId="0" fontId="38" fillId="15" borderId="6" xfId="69" applyFont="1" applyFill="1" applyBorder="1" applyAlignment="1">
      <alignment horizontal="center" vertical="center" wrapText="1"/>
    </xf>
    <xf numFmtId="3" fontId="38" fillId="15" borderId="15" xfId="69" applyNumberFormat="1" applyFont="1" applyFill="1" applyBorder="1" applyAlignment="1">
      <alignment vertical="center" wrapText="1"/>
    </xf>
    <xf numFmtId="166" fontId="38" fillId="15" borderId="15" xfId="72" applyNumberFormat="1" applyFont="1" applyFill="1" applyBorder="1" applyAlignment="1">
      <alignment vertical="center" wrapText="1"/>
    </xf>
    <xf numFmtId="3" fontId="38" fillId="0" borderId="5" xfId="69" applyNumberFormat="1" applyFont="1" applyBorder="1" applyAlignment="1">
      <alignment vertical="center"/>
    </xf>
    <xf numFmtId="166" fontId="38" fillId="0" borderId="5" xfId="72" applyNumberFormat="1" applyFont="1" applyBorder="1" applyAlignment="1">
      <alignment vertical="center"/>
    </xf>
    <xf numFmtId="0" fontId="38" fillId="10" borderId="15" xfId="69" applyFont="1" applyFill="1" applyBorder="1" applyAlignment="1">
      <alignment horizontal="center" vertical="center" wrapText="1"/>
    </xf>
    <xf numFmtId="0" fontId="38" fillId="10" borderId="6" xfId="69" quotePrefix="1" applyFont="1" applyFill="1" applyBorder="1" applyAlignment="1">
      <alignment horizontal="center" vertical="center" wrapText="1"/>
    </xf>
    <xf numFmtId="0" fontId="38" fillId="10" borderId="4" xfId="69" quotePrefix="1" applyFont="1" applyFill="1" applyBorder="1" applyAlignment="1">
      <alignment horizontal="center" vertical="center"/>
    </xf>
    <xf numFmtId="0" fontId="38" fillId="10" borderId="4" xfId="69" applyFont="1" applyFill="1" applyBorder="1" applyAlignment="1">
      <alignment horizontal="center" vertical="center"/>
    </xf>
    <xf numFmtId="0" fontId="37" fillId="10" borderId="4" xfId="69" applyFont="1" applyFill="1" applyBorder="1" applyAlignment="1">
      <alignment horizontal="center" vertical="center"/>
    </xf>
    <xf numFmtId="0" fontId="37" fillId="10" borderId="3" xfId="69" applyFont="1" applyFill="1" applyBorder="1" applyAlignment="1">
      <alignment horizontal="center" vertical="center"/>
    </xf>
    <xf numFmtId="0" fontId="38" fillId="3" borderId="15" xfId="69" applyFont="1" applyFill="1" applyBorder="1" applyAlignment="1">
      <alignment horizontal="center" vertical="center" wrapText="1"/>
    </xf>
    <xf numFmtId="0" fontId="38" fillId="3" borderId="6" xfId="69" quotePrefix="1" applyFont="1" applyFill="1" applyBorder="1" applyAlignment="1">
      <alignment horizontal="center" vertical="center" wrapText="1"/>
    </xf>
    <xf numFmtId="0" fontId="37" fillId="3" borderId="15" xfId="69" applyFont="1" applyFill="1" applyBorder="1" applyAlignment="1">
      <alignment horizontal="center" vertical="center" wrapText="1"/>
    </xf>
    <xf numFmtId="0" fontId="37" fillId="3" borderId="6" xfId="69" quotePrefix="1" applyFont="1" applyFill="1" applyBorder="1" applyAlignment="1">
      <alignment horizontal="center" vertical="center" wrapText="1"/>
    </xf>
    <xf numFmtId="0" fontId="38" fillId="15" borderId="13" xfId="69" applyFont="1" applyFill="1" applyBorder="1" applyAlignment="1">
      <alignment horizontal="center" vertical="center" wrapText="1"/>
    </xf>
    <xf numFmtId="3" fontId="38" fillId="15" borderId="14" xfId="69" applyNumberFormat="1" applyFont="1" applyFill="1" applyBorder="1" applyAlignment="1">
      <alignment vertical="center" wrapText="1"/>
    </xf>
    <xf numFmtId="166" fontId="38" fillId="15" borderId="14" xfId="72" applyNumberFormat="1" applyFont="1" applyFill="1" applyBorder="1" applyAlignment="1">
      <alignment vertical="center" wrapText="1"/>
    </xf>
    <xf numFmtId="0" fontId="38" fillId="3" borderId="7" xfId="69" applyFont="1" applyFill="1" applyBorder="1" applyAlignment="1">
      <alignment horizontal="center" vertical="center" wrapText="1"/>
    </xf>
    <xf numFmtId="0" fontId="38" fillId="3" borderId="0" xfId="69" applyFont="1" applyFill="1" applyBorder="1" applyAlignment="1">
      <alignment horizontal="center" vertical="center" wrapText="1"/>
    </xf>
    <xf numFmtId="0" fontId="38" fillId="3" borderId="8" xfId="69" applyFont="1" applyFill="1" applyBorder="1" applyAlignment="1">
      <alignment horizontal="center" vertical="center" wrapText="1"/>
    </xf>
    <xf numFmtId="0" fontId="40" fillId="10" borderId="14" xfId="69" applyFont="1" applyFill="1" applyBorder="1" applyAlignment="1">
      <alignment vertical="center" wrapText="1"/>
    </xf>
    <xf numFmtId="0" fontId="41" fillId="3" borderId="15" xfId="69" applyFont="1" applyFill="1" applyBorder="1" applyAlignment="1">
      <alignment horizontal="center" vertical="center" wrapText="1"/>
    </xf>
    <xf numFmtId="0" fontId="41" fillId="3" borderId="6" xfId="69" quotePrefix="1" applyFont="1" applyFill="1" applyBorder="1" applyAlignment="1">
      <alignment horizontal="center" vertical="center" wrapText="1"/>
    </xf>
    <xf numFmtId="0" fontId="41" fillId="0" borderId="13" xfId="69" quotePrefix="1" applyFont="1" applyBorder="1" applyAlignment="1">
      <alignment horizontal="center" vertical="center"/>
    </xf>
    <xf numFmtId="0" fontId="37" fillId="3" borderId="6" xfId="69" applyFont="1" applyFill="1" applyBorder="1" applyAlignment="1">
      <alignment horizontal="center" vertical="center" wrapText="1"/>
    </xf>
    <xf numFmtId="0" fontId="38" fillId="3" borderId="4" xfId="69" quotePrefix="1" applyFont="1" applyFill="1" applyBorder="1" applyAlignment="1">
      <alignment horizontal="center" vertical="center"/>
    </xf>
    <xf numFmtId="0" fontId="38" fillId="3" borderId="4" xfId="69" applyFont="1" applyFill="1" applyBorder="1" applyAlignment="1">
      <alignment horizontal="center" vertical="center"/>
    </xf>
    <xf numFmtId="0" fontId="37" fillId="3" borderId="4" xfId="69" applyFont="1" applyFill="1" applyBorder="1" applyAlignment="1">
      <alignment horizontal="center" vertical="center"/>
    </xf>
    <xf numFmtId="0" fontId="37" fillId="3" borderId="3" xfId="69" applyFont="1" applyFill="1" applyBorder="1" applyAlignment="1">
      <alignment horizontal="center" vertical="center"/>
    </xf>
    <xf numFmtId="0" fontId="37" fillId="3" borderId="4" xfId="69" quotePrefix="1" applyFont="1" applyFill="1" applyBorder="1" applyAlignment="1">
      <alignment horizontal="center" vertical="center"/>
    </xf>
    <xf numFmtId="0" fontId="40" fillId="3" borderId="15" xfId="69" applyFont="1" applyFill="1" applyBorder="1" applyAlignment="1">
      <alignment horizontal="center" vertical="center" wrapText="1"/>
    </xf>
    <xf numFmtId="0" fontId="40" fillId="3" borderId="6" xfId="69" quotePrefix="1" applyFont="1" applyFill="1" applyBorder="1" applyAlignment="1">
      <alignment horizontal="center" vertical="center" wrapText="1"/>
    </xf>
    <xf numFmtId="0" fontId="40" fillId="3" borderId="4" xfId="69" quotePrefix="1" applyFont="1" applyFill="1" applyBorder="1" applyAlignment="1">
      <alignment horizontal="center" vertical="center"/>
    </xf>
    <xf numFmtId="0" fontId="40" fillId="3" borderId="4" xfId="69" applyFont="1" applyFill="1" applyBorder="1" applyAlignment="1">
      <alignment horizontal="center" vertical="center"/>
    </xf>
    <xf numFmtId="0" fontId="40" fillId="0" borderId="6" xfId="69" applyFont="1" applyBorder="1" applyAlignment="1">
      <alignment horizontal="center" vertical="center"/>
    </xf>
    <xf numFmtId="0" fontId="40" fillId="0" borderId="13" xfId="69" applyFont="1" applyBorder="1" applyAlignment="1">
      <alignment horizontal="center" vertical="center"/>
    </xf>
    <xf numFmtId="166" fontId="38" fillId="0" borderId="12" xfId="72" applyNumberFormat="1" applyFont="1" applyBorder="1" applyAlignment="1">
      <alignment vertical="center"/>
    </xf>
    <xf numFmtId="166" fontId="38" fillId="0" borderId="0" xfId="69" applyNumberFormat="1" applyFont="1"/>
    <xf numFmtId="0" fontId="41" fillId="3" borderId="4" xfId="69" quotePrefix="1" applyFont="1" applyFill="1" applyBorder="1" applyAlignment="1">
      <alignment horizontal="center" vertical="center"/>
    </xf>
    <xf numFmtId="0" fontId="41" fillId="3" borderId="4" xfId="69" applyFont="1" applyFill="1" applyBorder="1" applyAlignment="1">
      <alignment horizontal="center" vertical="center"/>
    </xf>
    <xf numFmtId="0" fontId="41" fillId="0" borderId="12" xfId="69" applyFont="1" applyBorder="1" applyAlignment="1">
      <alignment vertical="center" wrapText="1"/>
    </xf>
    <xf numFmtId="166" fontId="37" fillId="0" borderId="12" xfId="72" applyNumberFormat="1" applyFont="1" applyBorder="1" applyAlignment="1">
      <alignment vertical="center"/>
    </xf>
    <xf numFmtId="0" fontId="37" fillId="3" borderId="10" xfId="69" applyFont="1" applyFill="1" applyBorder="1" applyAlignment="1">
      <alignment horizontal="center" vertical="center" wrapText="1"/>
    </xf>
    <xf numFmtId="0" fontId="37" fillId="3" borderId="18" xfId="69" applyFont="1" applyFill="1" applyBorder="1" applyAlignment="1">
      <alignment horizontal="center" vertical="center" wrapText="1"/>
    </xf>
    <xf numFmtId="0" fontId="37" fillId="0" borderId="18" xfId="69" applyFont="1" applyBorder="1" applyAlignment="1">
      <alignment horizontal="center" vertical="center"/>
    </xf>
    <xf numFmtId="0" fontId="37" fillId="0" borderId="11" xfId="69" applyFont="1" applyBorder="1" applyAlignment="1">
      <alignment horizontal="center" vertical="center"/>
    </xf>
    <xf numFmtId="0" fontId="37" fillId="0" borderId="12" xfId="69" applyFont="1" applyBorder="1" applyAlignment="1">
      <alignment vertical="center" wrapText="1"/>
    </xf>
    <xf numFmtId="0" fontId="38" fillId="0" borderId="12" xfId="69" applyFont="1" applyBorder="1" applyAlignment="1">
      <alignment vertical="center" wrapText="1"/>
    </xf>
    <xf numFmtId="0" fontId="41" fillId="0" borderId="18" xfId="69" quotePrefix="1" applyFont="1" applyBorder="1" applyAlignment="1">
      <alignment horizontal="center" vertical="center"/>
    </xf>
    <xf numFmtId="0" fontId="41" fillId="0" borderId="11" xfId="69" applyFont="1" applyBorder="1" applyAlignment="1">
      <alignment horizontal="center" vertical="center"/>
    </xf>
    <xf numFmtId="0" fontId="37" fillId="0" borderId="18" xfId="69" quotePrefix="1" applyFont="1" applyBorder="1" applyAlignment="1">
      <alignment horizontal="center" vertical="center"/>
    </xf>
    <xf numFmtId="0" fontId="37" fillId="0" borderId="11" xfId="69" quotePrefix="1" applyFont="1" applyBorder="1" applyAlignment="1">
      <alignment horizontal="center" vertical="center"/>
    </xf>
    <xf numFmtId="0" fontId="37" fillId="3" borderId="13" xfId="69" quotePrefix="1" applyFont="1" applyFill="1" applyBorder="1" applyAlignment="1">
      <alignment horizontal="center" vertical="center"/>
    </xf>
    <xf numFmtId="0" fontId="41" fillId="3" borderId="13" xfId="69" quotePrefix="1" applyFont="1" applyFill="1" applyBorder="1" applyAlignment="1">
      <alignment horizontal="center" vertical="center"/>
    </xf>
    <xf numFmtId="0" fontId="40" fillId="3" borderId="13" xfId="69" quotePrefix="1" applyFont="1" applyFill="1" applyBorder="1" applyAlignment="1">
      <alignment horizontal="center" vertical="center"/>
    </xf>
    <xf numFmtId="0" fontId="40" fillId="0" borderId="12" xfId="69" applyFont="1" applyBorder="1" applyAlignment="1">
      <alignment vertical="center" wrapText="1"/>
    </xf>
    <xf numFmtId="0" fontId="38" fillId="3" borderId="18" xfId="69" applyFont="1" applyFill="1" applyBorder="1" applyAlignment="1">
      <alignment horizontal="center" vertical="center"/>
    </xf>
    <xf numFmtId="0" fontId="37" fillId="3" borderId="18" xfId="69" applyFont="1" applyFill="1" applyBorder="1" applyAlignment="1">
      <alignment horizontal="center" vertical="center"/>
    </xf>
    <xf numFmtId="0" fontId="37" fillId="3" borderId="11" xfId="69" applyFont="1" applyFill="1" applyBorder="1" applyAlignment="1">
      <alignment horizontal="center" vertical="center"/>
    </xf>
    <xf numFmtId="0" fontId="37" fillId="10" borderId="6" xfId="69" applyFont="1" applyFill="1" applyBorder="1" applyAlignment="1">
      <alignment horizontal="center" vertical="center"/>
    </xf>
    <xf numFmtId="0" fontId="37" fillId="10" borderId="13" xfId="69" applyFont="1" applyFill="1" applyBorder="1" applyAlignment="1">
      <alignment horizontal="center" vertical="center"/>
    </xf>
    <xf numFmtId="166" fontId="38" fillId="19" borderId="14" xfId="72" applyNumberFormat="1" applyFont="1" applyFill="1" applyBorder="1" applyAlignment="1">
      <alignment vertical="center" wrapText="1"/>
    </xf>
    <xf numFmtId="0" fontId="41" fillId="3" borderId="6" xfId="69" applyFont="1" applyFill="1" applyBorder="1" applyAlignment="1">
      <alignment horizontal="center" vertical="center" wrapText="1"/>
    </xf>
    <xf numFmtId="0" fontId="41" fillId="3" borderId="13" xfId="69" applyFont="1" applyFill="1" applyBorder="1" applyAlignment="1">
      <alignment horizontal="center" vertical="center"/>
    </xf>
    <xf numFmtId="0" fontId="41" fillId="3" borderId="11" xfId="69" applyFont="1" applyFill="1" applyBorder="1" applyAlignment="1">
      <alignment horizontal="center" vertical="center"/>
    </xf>
    <xf numFmtId="0" fontId="41" fillId="3" borderId="2" xfId="69" applyFont="1" applyFill="1" applyBorder="1" applyAlignment="1">
      <alignment horizontal="center" vertical="center" wrapText="1"/>
    </xf>
    <xf numFmtId="0" fontId="41" fillId="3" borderId="4" xfId="69" quotePrefix="1" applyFont="1" applyFill="1" applyBorder="1" applyAlignment="1">
      <alignment horizontal="center" vertical="center" wrapText="1"/>
    </xf>
    <xf numFmtId="0" fontId="41" fillId="3" borderId="3" xfId="69" applyFont="1" applyFill="1" applyBorder="1" applyAlignment="1">
      <alignment horizontal="center" vertical="center"/>
    </xf>
    <xf numFmtId="0" fontId="41" fillId="0" borderId="5" xfId="69" applyFont="1" applyBorder="1" applyAlignment="1">
      <alignment vertical="center" wrapText="1"/>
    </xf>
    <xf numFmtId="0" fontId="38" fillId="3" borderId="6" xfId="69" applyFont="1" applyFill="1" applyBorder="1" applyAlignment="1">
      <alignment horizontal="center" vertical="center" wrapText="1"/>
    </xf>
    <xf numFmtId="0" fontId="38" fillId="3" borderId="11" xfId="69" applyFont="1" applyFill="1" applyBorder="1" applyAlignment="1">
      <alignment horizontal="center" vertical="center"/>
    </xf>
    <xf numFmtId="166" fontId="41" fillId="0" borderId="12" xfId="72" applyNumberFormat="1" applyFont="1" applyBorder="1" applyAlignment="1">
      <alignment vertical="center"/>
    </xf>
    <xf numFmtId="166" fontId="40" fillId="0" borderId="12" xfId="72" applyNumberFormat="1" applyFont="1" applyBorder="1" applyAlignment="1">
      <alignment vertical="center"/>
    </xf>
    <xf numFmtId="0" fontId="40" fillId="3" borderId="18" xfId="69" quotePrefix="1" applyFont="1" applyFill="1" applyBorder="1" applyAlignment="1">
      <alignment horizontal="center" vertical="center"/>
    </xf>
    <xf numFmtId="0" fontId="41" fillId="3" borderId="18" xfId="69" quotePrefix="1" applyFont="1" applyFill="1" applyBorder="1" applyAlignment="1">
      <alignment horizontal="center" vertical="center"/>
    </xf>
    <xf numFmtId="0" fontId="37" fillId="0" borderId="6" xfId="69" applyFont="1" applyBorder="1" applyAlignment="1">
      <alignment vertical="center" wrapText="1"/>
    </xf>
    <xf numFmtId="0" fontId="38" fillId="3" borderId="0" xfId="69" applyFont="1" applyFill="1" applyBorder="1" applyAlignment="1">
      <alignment horizontal="center" vertical="center"/>
    </xf>
    <xf numFmtId="166" fontId="38" fillId="3" borderId="0" xfId="72" applyNumberFormat="1" applyFont="1" applyFill="1" applyBorder="1" applyAlignment="1">
      <alignment vertical="center"/>
    </xf>
    <xf numFmtId="166" fontId="37" fillId="0" borderId="0" xfId="72" applyNumberFormat="1" applyFont="1" applyBorder="1" applyAlignment="1">
      <alignment vertical="center"/>
    </xf>
    <xf numFmtId="0" fontId="37" fillId="0" borderId="0" xfId="69" applyFont="1" applyBorder="1"/>
    <xf numFmtId="166" fontId="37" fillId="0" borderId="0" xfId="72" applyNumberFormat="1" applyFont="1" applyBorder="1"/>
    <xf numFmtId="49" fontId="42" fillId="0" borderId="0" xfId="70" applyNumberFormat="1" applyFont="1" applyBorder="1" applyAlignment="1">
      <alignment horizontal="center" vertical="center"/>
    </xf>
    <xf numFmtId="0" fontId="39" fillId="0" borderId="0" xfId="69" applyFont="1" applyAlignment="1">
      <alignment horizontal="left" vertical="center"/>
    </xf>
    <xf numFmtId="166" fontId="39" fillId="0" borderId="0" xfId="69" applyNumberFormat="1" applyFont="1" applyAlignment="1">
      <alignment horizontal="left" vertical="center"/>
    </xf>
    <xf numFmtId="166" fontId="42" fillId="0" borderId="0" xfId="74" quotePrefix="1" applyNumberFormat="1" applyFont="1" applyBorder="1" applyAlignment="1">
      <alignment horizontal="center" vertical="center"/>
    </xf>
    <xf numFmtId="166" fontId="42" fillId="0" borderId="0" xfId="69" applyNumberFormat="1" applyFont="1" applyBorder="1" applyAlignment="1">
      <alignment horizontal="center" vertical="center"/>
    </xf>
    <xf numFmtId="166" fontId="36" fillId="0" borderId="0" xfId="72" applyNumberFormat="1" applyFont="1" applyAlignment="1">
      <alignment horizontal="left" vertical="center"/>
    </xf>
    <xf numFmtId="166" fontId="42" fillId="0" borderId="0" xfId="69" applyNumberFormat="1" applyFont="1" applyFill="1" applyBorder="1" applyAlignment="1">
      <alignment horizontal="center" vertical="center"/>
    </xf>
    <xf numFmtId="166" fontId="42" fillId="0" borderId="0" xfId="72" applyNumberFormat="1" applyFont="1" applyBorder="1" applyAlignment="1">
      <alignment horizontal="left" vertical="center"/>
    </xf>
    <xf numFmtId="166" fontId="42" fillId="0" borderId="0" xfId="69" applyNumberFormat="1" applyFont="1" applyAlignment="1">
      <alignment horizontal="center" vertical="center"/>
    </xf>
    <xf numFmtId="166" fontId="42" fillId="0" borderId="0" xfId="72" applyNumberFormat="1" applyFont="1" applyAlignment="1">
      <alignment horizontal="left" vertical="center"/>
    </xf>
    <xf numFmtId="49" fontId="36" fillId="0" borderId="0" xfId="70" applyNumberFormat="1" applyFont="1" applyBorder="1" applyAlignment="1">
      <alignment horizontal="center" vertical="center"/>
    </xf>
    <xf numFmtId="166" fontId="39" fillId="0" borderId="0" xfId="72" applyNumberFormat="1" applyFont="1" applyAlignment="1">
      <alignment horizontal="left" vertical="center"/>
    </xf>
    <xf numFmtId="41" fontId="36" fillId="0" borderId="0" xfId="69" applyNumberFormat="1" applyFont="1" applyBorder="1" applyAlignment="1">
      <alignment horizontal="center"/>
    </xf>
    <xf numFmtId="0" fontId="43" fillId="0" borderId="0" xfId="70" applyFont="1" applyAlignment="1">
      <alignment horizontal="center" vertical="center"/>
    </xf>
    <xf numFmtId="0" fontId="43" fillId="0" borderId="0" xfId="70" applyFont="1" applyAlignment="1">
      <alignment vertical="center"/>
    </xf>
    <xf numFmtId="41" fontId="42" fillId="0" borderId="0" xfId="69" applyNumberFormat="1" applyFont="1" applyAlignment="1">
      <alignment horizontal="center"/>
    </xf>
    <xf numFmtId="166" fontId="39" fillId="0" borderId="0" xfId="69" applyNumberFormat="1" applyFont="1" applyAlignment="1">
      <alignment vertical="center"/>
    </xf>
    <xf numFmtId="0" fontId="42" fillId="0" borderId="0" xfId="70" applyFont="1" applyAlignment="1">
      <alignment horizontal="center" vertical="center"/>
    </xf>
    <xf numFmtId="0" fontId="42" fillId="0" borderId="0" xfId="70" applyFont="1" applyAlignment="1">
      <alignment vertical="center"/>
    </xf>
    <xf numFmtId="0" fontId="37" fillId="0" borderId="0" xfId="69" applyFont="1" applyBorder="1" applyAlignment="1">
      <alignment vertical="center"/>
    </xf>
    <xf numFmtId="43" fontId="37" fillId="0" borderId="0" xfId="72" applyFont="1" applyBorder="1" applyAlignment="1">
      <alignment vertical="center"/>
    </xf>
    <xf numFmtId="43" fontId="37" fillId="0" borderId="0" xfId="72" applyFont="1" applyBorder="1"/>
    <xf numFmtId="0" fontId="2" fillId="0" borderId="0" xfId="69" applyBorder="1"/>
    <xf numFmtId="41" fontId="12" fillId="0" borderId="14" xfId="8" applyNumberFormat="1" applyFont="1" applyFill="1" applyBorder="1" applyAlignment="1">
      <alignment horizontal="center" vertical="top" wrapText="1"/>
    </xf>
    <xf numFmtId="166" fontId="12" fillId="0" borderId="14" xfId="1" applyNumberFormat="1" applyFont="1" applyBorder="1" applyAlignment="1">
      <alignment vertical="top"/>
    </xf>
    <xf numFmtId="0" fontId="18" fillId="0" borderId="14" xfId="4" applyFont="1" applyBorder="1" applyAlignment="1">
      <alignment horizontal="center" vertical="top" wrapText="1"/>
    </xf>
    <xf numFmtId="0" fontId="18" fillId="0" borderId="14" xfId="4" applyFont="1" applyFill="1" applyBorder="1" applyAlignment="1">
      <alignment horizontal="center" vertical="top" wrapText="1"/>
    </xf>
    <xf numFmtId="0" fontId="26" fillId="2" borderId="15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166" fontId="29" fillId="0" borderId="6" xfId="4" applyNumberFormat="1" applyFont="1" applyFill="1" applyBorder="1" applyAlignment="1">
      <alignment vertical="center"/>
    </xf>
    <xf numFmtId="0" fontId="19" fillId="0" borderId="6" xfId="4" applyFont="1" applyBorder="1" applyAlignment="1">
      <alignment vertical="center"/>
    </xf>
    <xf numFmtId="3" fontId="18" fillId="0" borderId="14" xfId="4" applyNumberFormat="1" applyFont="1" applyBorder="1" applyAlignment="1">
      <alignment vertical="top"/>
    </xf>
    <xf numFmtId="166" fontId="18" fillId="0" borderId="14" xfId="1" applyNumberFormat="1" applyFont="1" applyBorder="1" applyAlignment="1">
      <alignment vertical="top"/>
    </xf>
    <xf numFmtId="41" fontId="12" fillId="4" borderId="14" xfId="8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9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9" fontId="12" fillId="4" borderId="14" xfId="3" applyFont="1" applyFill="1" applyBorder="1" applyAlignment="1">
      <alignment vertical="top"/>
    </xf>
    <xf numFmtId="166" fontId="12" fillId="4" borderId="14" xfId="1" applyNumberFormat="1" applyFont="1" applyFill="1" applyBorder="1" applyAlignment="1">
      <alignment vertical="top"/>
    </xf>
    <xf numFmtId="9" fontId="18" fillId="0" borderId="14" xfId="3" applyFont="1" applyBorder="1" applyAlignment="1">
      <alignment vertical="top"/>
    </xf>
    <xf numFmtId="0" fontId="27" fillId="0" borderId="6" xfId="4" applyFont="1" applyBorder="1" applyAlignment="1">
      <alignment vertical="center"/>
    </xf>
    <xf numFmtId="0" fontId="27" fillId="0" borderId="13" xfId="4" applyFont="1" applyBorder="1" applyAlignment="1">
      <alignment vertical="center"/>
    </xf>
    <xf numFmtId="0" fontId="27" fillId="0" borderId="14" xfId="4" applyFont="1" applyBorder="1" applyAlignment="1">
      <alignment horizontal="left" vertical="center"/>
    </xf>
    <xf numFmtId="0" fontId="27" fillId="0" borderId="6" xfId="4" applyNumberFormat="1" applyFont="1" applyBorder="1" applyAlignment="1">
      <alignment vertical="center"/>
    </xf>
    <xf numFmtId="9" fontId="18" fillId="4" borderId="14" xfId="3" applyFont="1" applyFill="1" applyBorder="1" applyAlignment="1">
      <alignment vertical="top"/>
    </xf>
    <xf numFmtId="9" fontId="18" fillId="11" borderId="14" xfId="3" applyFont="1" applyFill="1" applyBorder="1" applyAlignment="1">
      <alignment vertical="top"/>
    </xf>
    <xf numFmtId="0" fontId="5" fillId="19" borderId="0" xfId="4" applyFont="1" applyFill="1" applyAlignment="1">
      <alignment vertical="top" wrapText="1"/>
    </xf>
    <xf numFmtId="10" fontId="44" fillId="0" borderId="14" xfId="37" applyNumberFormat="1" applyFont="1" applyFill="1" applyBorder="1" applyAlignment="1">
      <alignment horizontal="center" vertical="top" wrapText="1"/>
    </xf>
    <xf numFmtId="9" fontId="12" fillId="0" borderId="14" xfId="3" applyFont="1" applyFill="1" applyBorder="1" applyAlignment="1">
      <alignment vertical="top"/>
    </xf>
    <xf numFmtId="0" fontId="12" fillId="8" borderId="13" xfId="4" applyFont="1" applyFill="1" applyBorder="1" applyAlignment="1">
      <alignment horizontal="center" vertical="top" wrapText="1"/>
    </xf>
    <xf numFmtId="0" fontId="12" fillId="8" borderId="14" xfId="4" applyFont="1" applyFill="1" applyBorder="1" applyAlignment="1">
      <alignment vertical="top" wrapText="1"/>
    </xf>
    <xf numFmtId="166" fontId="12" fillId="4" borderId="14" xfId="1" applyNumberFormat="1" applyFont="1" applyFill="1" applyBorder="1" applyAlignment="1">
      <alignment horizontal="center" vertical="top" wrapText="1"/>
    </xf>
    <xf numFmtId="10" fontId="12" fillId="11" borderId="14" xfId="3" applyNumberFormat="1" applyFont="1" applyFill="1" applyBorder="1" applyAlignment="1">
      <alignment horizontal="center" vertical="top"/>
    </xf>
    <xf numFmtId="9" fontId="12" fillId="8" borderId="14" xfId="3" applyFont="1" applyFill="1" applyBorder="1" applyAlignment="1">
      <alignment horizontal="center" vertical="top" wrapText="1"/>
    </xf>
    <xf numFmtId="10" fontId="12" fillId="8" borderId="14" xfId="3" applyNumberFormat="1" applyFont="1" applyFill="1" applyBorder="1" applyAlignment="1">
      <alignment vertical="top"/>
    </xf>
    <xf numFmtId="2" fontId="45" fillId="8" borderId="14" xfId="37" applyNumberFormat="1" applyFont="1" applyFill="1" applyBorder="1" applyAlignment="1">
      <alignment horizontal="center" vertical="top" wrapText="1"/>
    </xf>
    <xf numFmtId="0" fontId="45" fillId="8" borderId="14" xfId="37" applyFont="1" applyFill="1" applyBorder="1" applyAlignment="1">
      <alignment horizontal="center" vertical="top" wrapText="1"/>
    </xf>
    <xf numFmtId="0" fontId="34" fillId="0" borderId="0" xfId="75" applyFont="1"/>
    <xf numFmtId="0" fontId="1" fillId="0" borderId="0" xfId="75"/>
    <xf numFmtId="166" fontId="1" fillId="0" borderId="0" xfId="75" applyNumberFormat="1"/>
    <xf numFmtId="0" fontId="37" fillId="0" borderId="0" xfId="75" applyFont="1"/>
    <xf numFmtId="0" fontId="35" fillId="0" borderId="5" xfId="75" applyFont="1" applyBorder="1" applyAlignment="1">
      <alignment horizontal="center" vertical="center" wrapText="1" readingOrder="1"/>
    </xf>
    <xf numFmtId="49" fontId="36" fillId="0" borderId="5" xfId="75" quotePrefix="1" applyNumberFormat="1" applyFont="1" applyBorder="1" applyAlignment="1">
      <alignment horizontal="center" vertical="center"/>
    </xf>
    <xf numFmtId="49" fontId="36" fillId="0" borderId="14" xfId="75" quotePrefix="1" applyNumberFormat="1" applyFont="1" applyBorder="1" applyAlignment="1">
      <alignment horizontal="center" vertical="center" wrapText="1"/>
    </xf>
    <xf numFmtId="0" fontId="38" fillId="0" borderId="0" xfId="75" applyFont="1"/>
    <xf numFmtId="0" fontId="47" fillId="17" borderId="15" xfId="75" quotePrefix="1" applyFont="1" applyFill="1" applyBorder="1" applyAlignment="1">
      <alignment horizontal="center" vertical="center" wrapText="1" readingOrder="1"/>
    </xf>
    <xf numFmtId="0" fontId="47" fillId="17" borderId="6" xfId="75" quotePrefix="1" applyFont="1" applyFill="1" applyBorder="1" applyAlignment="1">
      <alignment horizontal="center" vertical="center" wrapText="1" readingOrder="1"/>
    </xf>
    <xf numFmtId="0" fontId="48" fillId="17" borderId="6" xfId="75" applyFont="1" applyFill="1" applyBorder="1" applyAlignment="1">
      <alignment horizontal="center" vertical="center" wrapText="1" readingOrder="1"/>
    </xf>
    <xf numFmtId="0" fontId="48" fillId="17" borderId="13" xfId="75" applyFont="1" applyFill="1" applyBorder="1" applyAlignment="1">
      <alignment horizontal="center" vertical="center" wrapText="1" readingOrder="1"/>
    </xf>
    <xf numFmtId="0" fontId="47" fillId="17" borderId="14" xfId="75" applyFont="1" applyFill="1" applyBorder="1" applyAlignment="1">
      <alignment horizontal="left" vertical="center" wrapText="1" readingOrder="1"/>
    </xf>
    <xf numFmtId="3" fontId="47" fillId="17" borderId="14" xfId="75" applyNumberFormat="1" applyFont="1" applyFill="1" applyBorder="1" applyAlignment="1">
      <alignment horizontal="right" vertical="center" wrapText="1" readingOrder="1"/>
    </xf>
    <xf numFmtId="43" fontId="47" fillId="17" borderId="14" xfId="77" applyNumberFormat="1" applyFont="1" applyFill="1" applyBorder="1" applyAlignment="1">
      <alignment horizontal="right" vertical="center" wrapText="1" readingOrder="1"/>
    </xf>
    <xf numFmtId="43" fontId="40" fillId="17" borderId="14" xfId="77" applyNumberFormat="1" applyFont="1" applyFill="1" applyBorder="1" applyAlignment="1">
      <alignment vertical="center"/>
    </xf>
    <xf numFmtId="43" fontId="47" fillId="17" borderId="14" xfId="77" applyNumberFormat="1" applyFont="1" applyFill="1" applyBorder="1" applyAlignment="1">
      <alignment horizontal="right" vertical="center" wrapText="1"/>
    </xf>
    <xf numFmtId="166" fontId="40" fillId="17" borderId="14" xfId="77" applyNumberFormat="1" applyFont="1" applyFill="1" applyBorder="1" applyAlignment="1">
      <alignment vertical="center"/>
    </xf>
    <xf numFmtId="10" fontId="40" fillId="17" borderId="14" xfId="78" applyNumberFormat="1" applyFont="1" applyFill="1" applyBorder="1" applyAlignment="1">
      <alignment vertical="center"/>
    </xf>
    <xf numFmtId="0" fontId="41" fillId="0" borderId="0" xfId="75" applyFont="1"/>
    <xf numFmtId="0" fontId="47" fillId="0" borderId="10" xfId="75" applyFont="1" applyBorder="1" applyAlignment="1">
      <alignment horizontal="center" vertical="center" wrapText="1" readingOrder="1"/>
    </xf>
    <xf numFmtId="0" fontId="47" fillId="0" borderId="18" xfId="75" applyFont="1" applyBorder="1" applyAlignment="1">
      <alignment horizontal="center" vertical="center" wrapText="1" readingOrder="1"/>
    </xf>
    <xf numFmtId="0" fontId="47" fillId="0" borderId="11" xfId="75" applyFont="1" applyBorder="1" applyAlignment="1">
      <alignment horizontal="center" vertical="center" wrapText="1" readingOrder="1"/>
    </xf>
    <xf numFmtId="0" fontId="40" fillId="3" borderId="12" xfId="75" applyFont="1" applyFill="1" applyBorder="1" applyAlignment="1">
      <alignment vertical="center" wrapText="1"/>
    </xf>
    <xf numFmtId="0" fontId="47" fillId="0" borderId="12" xfId="75" applyFont="1" applyBorder="1" applyAlignment="1">
      <alignment horizontal="center" vertical="center" wrapText="1" readingOrder="1"/>
    </xf>
    <xf numFmtId="166" fontId="47" fillId="0" borderId="12" xfId="77" applyNumberFormat="1" applyFont="1" applyBorder="1" applyAlignment="1">
      <alignment horizontal="center" vertical="center" wrapText="1" readingOrder="1"/>
    </xf>
    <xf numFmtId="166" fontId="40" fillId="0" borderId="14" xfId="77" applyNumberFormat="1" applyFont="1" applyBorder="1" applyAlignment="1">
      <alignment vertical="center"/>
    </xf>
    <xf numFmtId="166" fontId="47" fillId="0" borderId="12" xfId="77" applyNumberFormat="1" applyFont="1" applyBorder="1" applyAlignment="1">
      <alignment horizontal="center" vertical="center" wrapText="1"/>
    </xf>
    <xf numFmtId="10" fontId="40" fillId="0" borderId="14" xfId="78" applyNumberFormat="1" applyFont="1" applyBorder="1" applyAlignment="1">
      <alignment vertical="center"/>
    </xf>
    <xf numFmtId="0" fontId="40" fillId="0" borderId="0" xfId="75" applyFont="1"/>
    <xf numFmtId="0" fontId="40" fillId="18" borderId="10" xfId="75" applyFont="1" applyFill="1" applyBorder="1" applyAlignment="1">
      <alignment horizontal="center" vertical="center" wrapText="1"/>
    </xf>
    <xf numFmtId="0" fontId="40" fillId="18" borderId="18" xfId="75" quotePrefix="1" applyFont="1" applyFill="1" applyBorder="1" applyAlignment="1">
      <alignment horizontal="center" vertical="center" wrapText="1"/>
    </xf>
    <xf numFmtId="0" fontId="40" fillId="18" borderId="18" xfId="75" applyFont="1" applyFill="1" applyBorder="1" applyAlignment="1">
      <alignment horizontal="center" vertical="center" wrapText="1"/>
    </xf>
    <xf numFmtId="0" fontId="40" fillId="18" borderId="11" xfId="75" applyFont="1" applyFill="1" applyBorder="1" applyAlignment="1">
      <alignment horizontal="center" vertical="center" wrapText="1"/>
    </xf>
    <xf numFmtId="0" fontId="40" fillId="18" borderId="12" xfId="75" applyFont="1" applyFill="1" applyBorder="1" applyAlignment="1">
      <alignment vertical="center" wrapText="1"/>
    </xf>
    <xf numFmtId="3" fontId="40" fillId="18" borderId="12" xfId="75" applyNumberFormat="1" applyFont="1" applyFill="1" applyBorder="1" applyAlignment="1">
      <alignment vertical="center" wrapText="1"/>
    </xf>
    <xf numFmtId="4" fontId="40" fillId="18" borderId="12" xfId="75" applyNumberFormat="1" applyFont="1" applyFill="1" applyBorder="1" applyAlignment="1">
      <alignment vertical="center" wrapText="1"/>
    </xf>
    <xf numFmtId="4" fontId="40" fillId="19" borderId="14" xfId="77" applyNumberFormat="1" applyFont="1" applyFill="1" applyBorder="1" applyAlignment="1">
      <alignment vertical="center"/>
    </xf>
    <xf numFmtId="166" fontId="40" fillId="19" borderId="14" xfId="77" applyNumberFormat="1" applyFont="1" applyFill="1" applyBorder="1" applyAlignment="1">
      <alignment horizontal="center" vertical="center"/>
    </xf>
    <xf numFmtId="10" fontId="40" fillId="19" borderId="14" xfId="78" applyNumberFormat="1" applyFont="1" applyFill="1" applyBorder="1" applyAlignment="1">
      <alignment horizontal="right" vertical="center"/>
    </xf>
    <xf numFmtId="0" fontId="40" fillId="3" borderId="10" xfId="75" applyFont="1" applyFill="1" applyBorder="1" applyAlignment="1">
      <alignment horizontal="center" vertical="center" wrapText="1"/>
    </xf>
    <xf numFmtId="0" fontId="40" fillId="3" borderId="18" xfId="75" applyFont="1" applyFill="1" applyBorder="1" applyAlignment="1">
      <alignment horizontal="center" vertical="center" wrapText="1"/>
    </xf>
    <xf numFmtId="0" fontId="40" fillId="3" borderId="11" xfId="75" applyFont="1" applyFill="1" applyBorder="1" applyAlignment="1">
      <alignment horizontal="center" vertical="center" wrapText="1"/>
    </xf>
    <xf numFmtId="3" fontId="40" fillId="3" borderId="12" xfId="75" applyNumberFormat="1" applyFont="1" applyFill="1" applyBorder="1" applyAlignment="1">
      <alignment vertical="center" wrapText="1"/>
    </xf>
    <xf numFmtId="166" fontId="40" fillId="3" borderId="12" xfId="77" applyNumberFormat="1" applyFont="1" applyFill="1" applyBorder="1" applyAlignment="1">
      <alignment vertical="center" wrapText="1"/>
    </xf>
    <xf numFmtId="0" fontId="40" fillId="15" borderId="15" xfId="75" applyFont="1" applyFill="1" applyBorder="1" applyAlignment="1">
      <alignment horizontal="center" vertical="center"/>
    </xf>
    <xf numFmtId="0" fontId="40" fillId="15" borderId="6" xfId="75" quotePrefix="1" applyFont="1" applyFill="1" applyBorder="1" applyAlignment="1">
      <alignment horizontal="center" vertical="center"/>
    </xf>
    <xf numFmtId="0" fontId="40" fillId="15" borderId="6" xfId="75" applyFont="1" applyFill="1" applyBorder="1" applyAlignment="1">
      <alignment horizontal="center" vertical="center"/>
    </xf>
    <xf numFmtId="0" fontId="40" fillId="15" borderId="13" xfId="75" applyFont="1" applyFill="1" applyBorder="1" applyAlignment="1">
      <alignment horizontal="center" vertical="center"/>
    </xf>
    <xf numFmtId="0" fontId="40" fillId="15" borderId="14" xfId="75" applyFont="1" applyFill="1" applyBorder="1" applyAlignment="1">
      <alignment vertical="center" wrapText="1"/>
    </xf>
    <xf numFmtId="3" fontId="40" fillId="15" borderId="14" xfId="75" applyNumberFormat="1" applyFont="1" applyFill="1" applyBorder="1" applyAlignment="1">
      <alignment vertical="center"/>
    </xf>
    <xf numFmtId="166" fontId="40" fillId="15" borderId="14" xfId="77" applyNumberFormat="1" applyFont="1" applyFill="1" applyBorder="1" applyAlignment="1">
      <alignment vertical="center"/>
    </xf>
    <xf numFmtId="10" fontId="40" fillId="15" borderId="14" xfId="78" applyNumberFormat="1" applyFont="1" applyFill="1" applyBorder="1" applyAlignment="1">
      <alignment vertical="center"/>
    </xf>
    <xf numFmtId="166" fontId="41" fillId="0" borderId="0" xfId="75" applyNumberFormat="1" applyFont="1"/>
    <xf numFmtId="0" fontId="40" fillId="3" borderId="15" xfId="75" applyFont="1" applyFill="1" applyBorder="1" applyAlignment="1">
      <alignment horizontal="center" vertical="center"/>
    </xf>
    <xf numFmtId="0" fontId="40" fillId="3" borderId="6" xfId="75" applyFont="1" applyFill="1" applyBorder="1" applyAlignment="1">
      <alignment horizontal="center" vertical="center"/>
    </xf>
    <xf numFmtId="0" fontId="40" fillId="3" borderId="13" xfId="75" applyFont="1" applyFill="1" applyBorder="1" applyAlignment="1">
      <alignment horizontal="center" vertical="center"/>
    </xf>
    <xf numFmtId="0" fontId="40" fillId="3" borderId="14" xfId="75" applyFont="1" applyFill="1" applyBorder="1" applyAlignment="1">
      <alignment vertical="center"/>
    </xf>
    <xf numFmtId="3" fontId="40" fillId="3" borderId="14" xfId="75" applyNumberFormat="1" applyFont="1" applyFill="1" applyBorder="1" applyAlignment="1">
      <alignment vertical="center"/>
    </xf>
    <xf numFmtId="166" fontId="40" fillId="3" borderId="14" xfId="77" applyNumberFormat="1" applyFont="1" applyFill="1" applyBorder="1" applyAlignment="1">
      <alignment vertical="center"/>
    </xf>
    <xf numFmtId="0" fontId="40" fillId="10" borderId="15" xfId="75" applyFont="1" applyFill="1" applyBorder="1" applyAlignment="1">
      <alignment horizontal="center" vertical="center"/>
    </xf>
    <xf numFmtId="0" fontId="40" fillId="10" borderId="6" xfId="75" quotePrefix="1" applyFont="1" applyFill="1" applyBorder="1" applyAlignment="1">
      <alignment horizontal="center" vertical="center"/>
    </xf>
    <xf numFmtId="0" fontId="40" fillId="10" borderId="6" xfId="75" applyFont="1" applyFill="1" applyBorder="1" applyAlignment="1">
      <alignment horizontal="center" vertical="center"/>
    </xf>
    <xf numFmtId="0" fontId="40" fillId="10" borderId="13" xfId="75" applyFont="1" applyFill="1" applyBorder="1" applyAlignment="1">
      <alignment horizontal="center" vertical="center"/>
    </xf>
    <xf numFmtId="0" fontId="40" fillId="10" borderId="14" xfId="75" applyFont="1" applyFill="1" applyBorder="1" applyAlignment="1">
      <alignment vertical="center"/>
    </xf>
    <xf numFmtId="3" fontId="40" fillId="10" borderId="14" xfId="75" applyNumberFormat="1" applyFont="1" applyFill="1" applyBorder="1" applyAlignment="1">
      <alignment vertical="center"/>
    </xf>
    <xf numFmtId="166" fontId="40" fillId="12" borderId="14" xfId="77" applyNumberFormat="1" applyFont="1" applyFill="1" applyBorder="1" applyAlignment="1">
      <alignment vertical="center"/>
    </xf>
    <xf numFmtId="10" fontId="40" fillId="20" borderId="14" xfId="78" applyNumberFormat="1" applyFont="1" applyFill="1" applyBorder="1" applyAlignment="1">
      <alignment vertical="center"/>
    </xf>
    <xf numFmtId="0" fontId="40" fillId="3" borderId="6" xfId="75" quotePrefix="1" applyFont="1" applyFill="1" applyBorder="1" applyAlignment="1">
      <alignment horizontal="center" vertical="center"/>
    </xf>
    <xf numFmtId="0" fontId="41" fillId="3" borderId="15" xfId="75" applyFont="1" applyFill="1" applyBorder="1" applyAlignment="1">
      <alignment horizontal="center" vertical="center"/>
    </xf>
    <xf numFmtId="0" fontId="41" fillId="3" borderId="6" xfId="75" quotePrefix="1" applyFont="1" applyFill="1" applyBorder="1" applyAlignment="1">
      <alignment horizontal="center" vertical="center"/>
    </xf>
    <xf numFmtId="0" fontId="41" fillId="3" borderId="6" xfId="75" applyFont="1" applyFill="1" applyBorder="1" applyAlignment="1">
      <alignment horizontal="center" vertical="center"/>
    </xf>
    <xf numFmtId="0" fontId="41" fillId="3" borderId="13" xfId="75" applyFont="1" applyFill="1" applyBorder="1" applyAlignment="1">
      <alignment horizontal="center" vertical="center"/>
    </xf>
    <xf numFmtId="0" fontId="41" fillId="0" borderId="14" xfId="75" applyFont="1" applyBorder="1" applyAlignment="1">
      <alignment vertical="center"/>
    </xf>
    <xf numFmtId="3" fontId="41" fillId="0" borderId="14" xfId="75" applyNumberFormat="1" applyFont="1" applyBorder="1" applyAlignment="1">
      <alignment vertical="center"/>
    </xf>
    <xf numFmtId="166" fontId="41" fillId="0" borderId="14" xfId="77" applyNumberFormat="1" applyFont="1" applyBorder="1" applyAlignment="1">
      <alignment vertical="center"/>
    </xf>
    <xf numFmtId="166" fontId="41" fillId="3" borderId="19" xfId="79" applyNumberFormat="1" applyFont="1" applyFill="1" applyBorder="1" applyAlignment="1">
      <alignment vertical="center"/>
    </xf>
    <xf numFmtId="10" fontId="41" fillId="0" borderId="14" xfId="78" applyNumberFormat="1" applyFont="1" applyBorder="1" applyAlignment="1">
      <alignment vertical="center"/>
    </xf>
    <xf numFmtId="166" fontId="41" fillId="0" borderId="0" xfId="77" applyNumberFormat="1" applyFont="1"/>
    <xf numFmtId="0" fontId="41" fillId="3" borderId="14" xfId="75" applyFont="1" applyFill="1" applyBorder="1" applyAlignment="1">
      <alignment vertical="center"/>
    </xf>
    <xf numFmtId="3" fontId="41" fillId="3" borderId="0" xfId="75" applyNumberFormat="1" applyFont="1" applyFill="1" applyAlignment="1">
      <alignment vertical="center"/>
    </xf>
    <xf numFmtId="166" fontId="41" fillId="8" borderId="14" xfId="77" applyNumberFormat="1" applyFont="1" applyFill="1" applyBorder="1" applyAlignment="1">
      <alignment vertical="center"/>
    </xf>
    <xf numFmtId="166" fontId="41" fillId="8" borderId="14" xfId="77" applyNumberFormat="1" applyFont="1" applyFill="1" applyBorder="1" applyAlignment="1">
      <alignment horizontal="right" vertical="center"/>
    </xf>
    <xf numFmtId="10" fontId="41" fillId="8" borderId="14" xfId="78" applyNumberFormat="1" applyFont="1" applyFill="1" applyBorder="1" applyAlignment="1">
      <alignment vertical="center"/>
    </xf>
    <xf numFmtId="0" fontId="41" fillId="3" borderId="0" xfId="75" applyFont="1" applyFill="1"/>
    <xf numFmtId="0" fontId="41" fillId="0" borderId="6" xfId="75" quotePrefix="1" applyFont="1" applyBorder="1" applyAlignment="1">
      <alignment horizontal="center" vertical="center"/>
    </xf>
    <xf numFmtId="3" fontId="41" fillId="3" borderId="14" xfId="75" applyNumberFormat="1" applyFont="1" applyFill="1" applyBorder="1" applyAlignment="1">
      <alignment vertical="center"/>
    </xf>
    <xf numFmtId="166" fontId="41" fillId="3" borderId="14" xfId="77" applyNumberFormat="1" applyFont="1" applyFill="1" applyBorder="1" applyAlignment="1">
      <alignment vertical="center"/>
    </xf>
    <xf numFmtId="166" fontId="41" fillId="3" borderId="14" xfId="77" applyNumberFormat="1" applyFont="1" applyFill="1" applyBorder="1" applyAlignment="1">
      <alignment horizontal="right" vertical="center"/>
    </xf>
    <xf numFmtId="10" fontId="41" fillId="3" borderId="14" xfId="78" applyNumberFormat="1" applyFont="1" applyFill="1" applyBorder="1" applyAlignment="1">
      <alignment vertical="center"/>
    </xf>
    <xf numFmtId="166" fontId="41" fillId="0" borderId="14" xfId="77" applyNumberFormat="1" applyFont="1" applyBorder="1" applyAlignment="1">
      <alignment horizontal="right" vertical="center"/>
    </xf>
    <xf numFmtId="0" fontId="41" fillId="0" borderId="6" xfId="75" applyFont="1" applyBorder="1" applyAlignment="1">
      <alignment horizontal="center" vertical="center"/>
    </xf>
    <xf numFmtId="0" fontId="40" fillId="0" borderId="14" xfId="75" applyFont="1" applyBorder="1" applyAlignment="1">
      <alignment vertical="center" wrapText="1"/>
    </xf>
    <xf numFmtId="3" fontId="40" fillId="0" borderId="14" xfId="75" applyNumberFormat="1" applyFont="1" applyBorder="1" applyAlignment="1">
      <alignment vertical="center"/>
    </xf>
    <xf numFmtId="0" fontId="41" fillId="0" borderId="14" xfId="75" applyFont="1" applyBorder="1" applyAlignment="1">
      <alignment vertical="center" wrapText="1"/>
    </xf>
    <xf numFmtId="166" fontId="41" fillId="0" borderId="14" xfId="77" applyNumberFormat="1" applyFont="1" applyBorder="1"/>
    <xf numFmtId="0" fontId="40" fillId="10" borderId="14" xfId="75" applyFont="1" applyFill="1" applyBorder="1" applyAlignment="1">
      <alignment vertical="center" wrapText="1"/>
    </xf>
    <xf numFmtId="10" fontId="40" fillId="12" borderId="14" xfId="78" applyNumberFormat="1" applyFont="1" applyFill="1" applyBorder="1" applyAlignment="1">
      <alignment vertical="center"/>
    </xf>
    <xf numFmtId="0" fontId="40" fillId="3" borderId="14" xfId="75" applyFont="1" applyFill="1" applyBorder="1" applyAlignment="1">
      <alignment vertical="center" wrapText="1"/>
    </xf>
    <xf numFmtId="0" fontId="40" fillId="0" borderId="14" xfId="75" applyFont="1" applyBorder="1" applyAlignment="1">
      <alignment vertical="center"/>
    </xf>
    <xf numFmtId="0" fontId="41" fillId="0" borderId="15" xfId="75" applyFont="1" applyBorder="1" applyAlignment="1">
      <alignment horizontal="center" vertical="center"/>
    </xf>
    <xf numFmtId="0" fontId="41" fillId="0" borderId="13" xfId="75" applyFont="1" applyBorder="1" applyAlignment="1">
      <alignment horizontal="center" vertical="center"/>
    </xf>
    <xf numFmtId="0" fontId="40" fillId="0" borderId="15" xfId="75" applyFont="1" applyBorder="1" applyAlignment="1">
      <alignment horizontal="center" vertical="center"/>
    </xf>
    <xf numFmtId="0" fontId="40" fillId="0" borderId="6" xfId="75" quotePrefix="1" applyFont="1" applyBorder="1" applyAlignment="1">
      <alignment horizontal="center" vertical="center"/>
    </xf>
    <xf numFmtId="0" fontId="40" fillId="0" borderId="6" xfId="75" applyFont="1" applyBorder="1" applyAlignment="1">
      <alignment horizontal="center" vertical="center"/>
    </xf>
    <xf numFmtId="0" fontId="40" fillId="0" borderId="13" xfId="75" applyFont="1" applyBorder="1" applyAlignment="1">
      <alignment horizontal="center" vertical="center"/>
    </xf>
    <xf numFmtId="0" fontId="40" fillId="12" borderId="15" xfId="75" applyFont="1" applyFill="1" applyBorder="1" applyAlignment="1">
      <alignment horizontal="center" vertical="center"/>
    </xf>
    <xf numFmtId="0" fontId="40" fillId="12" borderId="6" xfId="75" quotePrefix="1" applyFont="1" applyFill="1" applyBorder="1" applyAlignment="1">
      <alignment horizontal="center" vertical="center"/>
    </xf>
    <xf numFmtId="0" fontId="40" fillId="12" borderId="6" xfId="75" applyFont="1" applyFill="1" applyBorder="1" applyAlignment="1">
      <alignment horizontal="center" vertical="center"/>
    </xf>
    <xf numFmtId="0" fontId="40" fillId="12" borderId="13" xfId="75" applyFont="1" applyFill="1" applyBorder="1" applyAlignment="1">
      <alignment horizontal="center" vertical="center"/>
    </xf>
    <xf numFmtId="3" fontId="40" fillId="12" borderId="14" xfId="75" applyNumberFormat="1" applyFont="1" applyFill="1" applyBorder="1" applyAlignment="1">
      <alignment vertical="center"/>
    </xf>
    <xf numFmtId="166" fontId="41" fillId="7" borderId="14" xfId="77" applyNumberFormat="1" applyFont="1" applyFill="1" applyBorder="1" applyAlignment="1">
      <alignment vertical="center"/>
    </xf>
    <xf numFmtId="0" fontId="41" fillId="0" borderId="13" xfId="75" quotePrefix="1" applyFont="1" applyBorder="1" applyAlignment="1">
      <alignment horizontal="center" vertical="center"/>
    </xf>
    <xf numFmtId="10" fontId="41" fillId="7" borderId="14" xfId="78" applyNumberFormat="1" applyFont="1" applyFill="1" applyBorder="1" applyAlignment="1">
      <alignment vertical="center"/>
    </xf>
    <xf numFmtId="43" fontId="40" fillId="15" borderId="14" xfId="77" applyNumberFormat="1" applyFont="1" applyFill="1" applyBorder="1" applyAlignment="1">
      <alignment vertical="center"/>
    </xf>
    <xf numFmtId="43" fontId="41" fillId="0" borderId="0" xfId="75" applyNumberFormat="1" applyFont="1"/>
    <xf numFmtId="37" fontId="40" fillId="10" borderId="14" xfId="75" applyNumberFormat="1" applyFont="1" applyFill="1" applyBorder="1" applyAlignment="1">
      <alignment vertical="center"/>
    </xf>
    <xf numFmtId="37" fontId="40" fillId="0" borderId="14" xfId="75" applyNumberFormat="1" applyFont="1" applyBorder="1" applyAlignment="1">
      <alignment vertical="center"/>
    </xf>
    <xf numFmtId="43" fontId="40" fillId="12" borderId="14" xfId="77" applyNumberFormat="1" applyFont="1" applyFill="1" applyBorder="1" applyAlignment="1">
      <alignment vertical="center"/>
    </xf>
    <xf numFmtId="43" fontId="40" fillId="0" borderId="14" xfId="77" applyNumberFormat="1" applyFont="1" applyBorder="1" applyAlignment="1">
      <alignment vertical="center"/>
    </xf>
    <xf numFmtId="43" fontId="41" fillId="0" borderId="14" xfId="77" applyNumberFormat="1" applyFont="1" applyBorder="1" applyAlignment="1">
      <alignment vertical="center"/>
    </xf>
    <xf numFmtId="0" fontId="40" fillId="0" borderId="5" xfId="75" applyFont="1" applyBorder="1" applyAlignment="1">
      <alignment vertical="center" wrapText="1"/>
    </xf>
    <xf numFmtId="3" fontId="40" fillId="0" borderId="5" xfId="75" applyNumberFormat="1" applyFont="1" applyBorder="1" applyAlignment="1">
      <alignment vertical="center"/>
    </xf>
    <xf numFmtId="0" fontId="40" fillId="3" borderId="4" xfId="75" quotePrefix="1" applyFont="1" applyFill="1" applyBorder="1" applyAlignment="1">
      <alignment horizontal="center" vertical="center"/>
    </xf>
    <xf numFmtId="0" fontId="40" fillId="0" borderId="4" xfId="75" applyFont="1" applyBorder="1" applyAlignment="1">
      <alignment horizontal="center" vertical="center"/>
    </xf>
    <xf numFmtId="0" fontId="40" fillId="0" borderId="3" xfId="75" applyFont="1" applyBorder="1" applyAlignment="1">
      <alignment horizontal="center" vertical="center"/>
    </xf>
    <xf numFmtId="0" fontId="40" fillId="0" borderId="4" xfId="75" quotePrefix="1" applyFont="1" applyBorder="1" applyAlignment="1">
      <alignment horizontal="center" vertical="center"/>
    </xf>
    <xf numFmtId="0" fontId="41" fillId="3" borderId="4" xfId="75" quotePrefix="1" applyFont="1" applyFill="1" applyBorder="1" applyAlignment="1">
      <alignment horizontal="center" vertical="center"/>
    </xf>
    <xf numFmtId="0" fontId="41" fillId="0" borderId="4" xfId="75" quotePrefix="1" applyFont="1" applyBorder="1" applyAlignment="1">
      <alignment horizontal="center" vertical="center"/>
    </xf>
    <xf numFmtId="0" fontId="41" fillId="0" borderId="3" xfId="75" applyFont="1" applyBorder="1" applyAlignment="1">
      <alignment horizontal="center" vertical="center"/>
    </xf>
    <xf numFmtId="0" fontId="41" fillId="0" borderId="5" xfId="75" applyFont="1" applyBorder="1" applyAlignment="1">
      <alignment vertical="center" wrapText="1"/>
    </xf>
    <xf numFmtId="3" fontId="41" fillId="0" borderId="5" xfId="75" applyNumberFormat="1" applyFont="1" applyBorder="1" applyAlignment="1">
      <alignment vertical="center"/>
    </xf>
    <xf numFmtId="0" fontId="40" fillId="0" borderId="3" xfId="75" quotePrefix="1" applyFont="1" applyBorder="1" applyAlignment="1">
      <alignment horizontal="center" vertical="center"/>
    </xf>
    <xf numFmtId="0" fontId="41" fillId="0" borderId="3" xfId="75" quotePrefix="1" applyFont="1" applyBorder="1" applyAlignment="1">
      <alignment horizontal="center" vertical="center"/>
    </xf>
    <xf numFmtId="0" fontId="41" fillId="0" borderId="2" xfId="75" applyFont="1" applyBorder="1" applyAlignment="1">
      <alignment horizontal="center" vertical="center"/>
    </xf>
    <xf numFmtId="0" fontId="41" fillId="0" borderId="4" xfId="75" applyFont="1" applyBorder="1" applyAlignment="1">
      <alignment horizontal="center" vertical="center"/>
    </xf>
    <xf numFmtId="0" fontId="41" fillId="0" borderId="5" xfId="75" applyFont="1" applyBorder="1" applyAlignment="1">
      <alignment vertical="center"/>
    </xf>
    <xf numFmtId="0" fontId="40" fillId="18" borderId="15" xfId="75" applyFont="1" applyFill="1" applyBorder="1" applyAlignment="1">
      <alignment horizontal="center" vertical="center" wrapText="1"/>
    </xf>
    <xf numFmtId="0" fontId="40" fillId="18" borderId="6" xfId="75" quotePrefix="1" applyFont="1" applyFill="1" applyBorder="1" applyAlignment="1">
      <alignment horizontal="center" vertical="center" wrapText="1"/>
    </xf>
    <xf numFmtId="0" fontId="40" fillId="18" borderId="6" xfId="75" applyFont="1" applyFill="1" applyBorder="1" applyAlignment="1">
      <alignment horizontal="center" vertical="center" wrapText="1"/>
    </xf>
    <xf numFmtId="0" fontId="40" fillId="18" borderId="13" xfId="75" applyFont="1" applyFill="1" applyBorder="1" applyAlignment="1">
      <alignment horizontal="center" vertical="center" wrapText="1"/>
    </xf>
    <xf numFmtId="0" fontId="40" fillId="18" borderId="14" xfId="75" applyFont="1" applyFill="1" applyBorder="1" applyAlignment="1">
      <alignment vertical="center" wrapText="1"/>
    </xf>
    <xf numFmtId="3" fontId="40" fillId="18" borderId="14" xfId="75" applyNumberFormat="1" applyFont="1" applyFill="1" applyBorder="1" applyAlignment="1">
      <alignment vertical="center" wrapText="1"/>
    </xf>
    <xf numFmtId="166" fontId="40" fillId="19" borderId="14" xfId="77" applyNumberFormat="1" applyFont="1" applyFill="1" applyBorder="1" applyAlignment="1">
      <alignment vertical="center"/>
    </xf>
    <xf numFmtId="10" fontId="40" fillId="19" borderId="14" xfId="78" applyNumberFormat="1" applyFont="1" applyFill="1" applyBorder="1" applyAlignment="1">
      <alignment vertical="center"/>
    </xf>
    <xf numFmtId="0" fontId="40" fillId="15" borderId="15" xfId="75" applyFont="1" applyFill="1" applyBorder="1" applyAlignment="1">
      <alignment horizontal="center" vertical="center" wrapText="1"/>
    </xf>
    <xf numFmtId="0" fontId="40" fillId="15" borderId="6" xfId="75" quotePrefix="1" applyFont="1" applyFill="1" applyBorder="1" applyAlignment="1">
      <alignment horizontal="center" vertical="center" wrapText="1"/>
    </xf>
    <xf numFmtId="0" fontId="40" fillId="15" borderId="6" xfId="75" applyFont="1" applyFill="1" applyBorder="1" applyAlignment="1">
      <alignment horizontal="center" vertical="center" wrapText="1"/>
    </xf>
    <xf numFmtId="3" fontId="40" fillId="15" borderId="15" xfId="75" applyNumberFormat="1" applyFont="1" applyFill="1" applyBorder="1" applyAlignment="1">
      <alignment vertical="center" wrapText="1"/>
    </xf>
    <xf numFmtId="166" fontId="40" fillId="15" borderId="15" xfId="77" applyNumberFormat="1" applyFont="1" applyFill="1" applyBorder="1" applyAlignment="1">
      <alignment vertical="center" wrapText="1"/>
    </xf>
    <xf numFmtId="166" fontId="40" fillId="0" borderId="5" xfId="77" applyNumberFormat="1" applyFont="1" applyBorder="1" applyAlignment="1">
      <alignment vertical="center"/>
    </xf>
    <xf numFmtId="0" fontId="40" fillId="10" borderId="15" xfId="75" applyFont="1" applyFill="1" applyBorder="1" applyAlignment="1">
      <alignment horizontal="center" vertical="center" wrapText="1"/>
    </xf>
    <xf numFmtId="0" fontId="40" fillId="10" borderId="6" xfId="75" quotePrefix="1" applyFont="1" applyFill="1" applyBorder="1" applyAlignment="1">
      <alignment horizontal="center" vertical="center" wrapText="1"/>
    </xf>
    <xf numFmtId="0" fontId="40" fillId="10" borderId="4" xfId="75" quotePrefix="1" applyFont="1" applyFill="1" applyBorder="1" applyAlignment="1">
      <alignment horizontal="center" vertical="center"/>
    </xf>
    <xf numFmtId="0" fontId="40" fillId="10" borderId="4" xfId="75" applyFont="1" applyFill="1" applyBorder="1" applyAlignment="1">
      <alignment horizontal="center" vertical="center"/>
    </xf>
    <xf numFmtId="0" fontId="41" fillId="10" borderId="4" xfId="75" applyFont="1" applyFill="1" applyBorder="1" applyAlignment="1">
      <alignment horizontal="center" vertical="center"/>
    </xf>
    <xf numFmtId="0" fontId="41" fillId="10" borderId="3" xfId="75" applyFont="1" applyFill="1" applyBorder="1" applyAlignment="1">
      <alignment horizontal="center" vertical="center"/>
    </xf>
    <xf numFmtId="0" fontId="40" fillId="3" borderId="15" xfId="75" applyFont="1" applyFill="1" applyBorder="1" applyAlignment="1">
      <alignment horizontal="center" vertical="center" wrapText="1"/>
    </xf>
    <xf numFmtId="0" fontId="40" fillId="3" borderId="6" xfId="75" quotePrefix="1" applyFont="1" applyFill="1" applyBorder="1" applyAlignment="1">
      <alignment horizontal="center" vertical="center" wrapText="1"/>
    </xf>
    <xf numFmtId="0" fontId="41" fillId="3" borderId="15" xfId="75" applyFont="1" applyFill="1" applyBorder="1" applyAlignment="1">
      <alignment horizontal="center" vertical="center" wrapText="1"/>
    </xf>
    <xf numFmtId="0" fontId="41" fillId="3" borderId="6" xfId="75" quotePrefix="1" applyFont="1" applyFill="1" applyBorder="1" applyAlignment="1">
      <alignment horizontal="center" vertical="center" wrapText="1"/>
    </xf>
    <xf numFmtId="0" fontId="40" fillId="15" borderId="13" xfId="75" applyFont="1" applyFill="1" applyBorder="1" applyAlignment="1">
      <alignment horizontal="center" vertical="center" wrapText="1"/>
    </xf>
    <xf numFmtId="3" fontId="40" fillId="15" borderId="14" xfId="75" applyNumberFormat="1" applyFont="1" applyFill="1" applyBorder="1" applyAlignment="1">
      <alignment vertical="center" wrapText="1"/>
    </xf>
    <xf numFmtId="0" fontId="40" fillId="3" borderId="7" xfId="75" applyFont="1" applyFill="1" applyBorder="1" applyAlignment="1">
      <alignment horizontal="center" vertical="center" wrapText="1"/>
    </xf>
    <xf numFmtId="0" fontId="40" fillId="3" borderId="0" xfId="75" applyFont="1" applyFill="1" applyBorder="1" applyAlignment="1">
      <alignment horizontal="center" vertical="center" wrapText="1"/>
    </xf>
    <xf numFmtId="0" fontId="40" fillId="3" borderId="8" xfId="75" applyFont="1" applyFill="1" applyBorder="1" applyAlignment="1">
      <alignment horizontal="center" vertical="center" wrapText="1"/>
    </xf>
    <xf numFmtId="0" fontId="41" fillId="3" borderId="6" xfId="75" applyFont="1" applyFill="1" applyBorder="1" applyAlignment="1">
      <alignment horizontal="center" vertical="center" wrapText="1"/>
    </xf>
    <xf numFmtId="166" fontId="40" fillId="15" borderId="14" xfId="77" applyNumberFormat="1" applyFont="1" applyFill="1" applyBorder="1" applyAlignment="1">
      <alignment vertical="center" wrapText="1"/>
    </xf>
    <xf numFmtId="0" fontId="40" fillId="3" borderId="4" xfId="75" applyFont="1" applyFill="1" applyBorder="1" applyAlignment="1">
      <alignment horizontal="center" vertical="center"/>
    </xf>
    <xf numFmtId="0" fontId="41" fillId="3" borderId="4" xfId="75" applyFont="1" applyFill="1" applyBorder="1" applyAlignment="1">
      <alignment horizontal="center" vertical="center"/>
    </xf>
    <xf numFmtId="0" fontId="41" fillId="3" borderId="3" xfId="75" applyFont="1" applyFill="1" applyBorder="1" applyAlignment="1">
      <alignment horizontal="center" vertical="center"/>
    </xf>
    <xf numFmtId="166" fontId="40" fillId="0" borderId="12" xfId="77" applyNumberFormat="1" applyFont="1" applyBorder="1" applyAlignment="1">
      <alignment vertical="center"/>
    </xf>
    <xf numFmtId="0" fontId="41" fillId="0" borderId="12" xfId="75" applyFont="1" applyBorder="1" applyAlignment="1">
      <alignment vertical="center" wrapText="1"/>
    </xf>
    <xf numFmtId="166" fontId="41" fillId="0" borderId="12" xfId="77" applyNumberFormat="1" applyFont="1" applyBorder="1" applyAlignment="1">
      <alignment vertical="center"/>
    </xf>
    <xf numFmtId="0" fontId="41" fillId="3" borderId="10" xfId="75" applyFont="1" applyFill="1" applyBorder="1" applyAlignment="1">
      <alignment horizontal="center" vertical="center" wrapText="1"/>
    </xf>
    <xf numFmtId="0" fontId="41" fillId="3" borderId="18" xfId="75" applyFont="1" applyFill="1" applyBorder="1" applyAlignment="1">
      <alignment horizontal="center" vertical="center" wrapText="1"/>
    </xf>
    <xf numFmtId="0" fontId="41" fillId="0" borderId="18" xfId="75" applyFont="1" applyBorder="1" applyAlignment="1">
      <alignment horizontal="center" vertical="center"/>
    </xf>
    <xf numFmtId="0" fontId="41" fillId="0" borderId="11" xfId="75" applyFont="1" applyBorder="1" applyAlignment="1">
      <alignment horizontal="center" vertical="center"/>
    </xf>
    <xf numFmtId="0" fontId="40" fillId="0" borderId="12" xfId="75" applyFont="1" applyBorder="1" applyAlignment="1">
      <alignment vertical="center" wrapText="1"/>
    </xf>
    <xf numFmtId="0" fontId="41" fillId="0" borderId="18" xfId="75" quotePrefix="1" applyFont="1" applyBorder="1" applyAlignment="1">
      <alignment horizontal="center" vertical="center"/>
    </xf>
    <xf numFmtId="0" fontId="41" fillId="0" borderId="11" xfId="75" quotePrefix="1" applyFont="1" applyBorder="1" applyAlignment="1">
      <alignment horizontal="center" vertical="center"/>
    </xf>
    <xf numFmtId="0" fontId="41" fillId="3" borderId="13" xfId="75" quotePrefix="1" applyFont="1" applyFill="1" applyBorder="1" applyAlignment="1">
      <alignment horizontal="center" vertical="center"/>
    </xf>
    <xf numFmtId="0" fontId="40" fillId="3" borderId="13" xfId="75" quotePrefix="1" applyFont="1" applyFill="1" applyBorder="1" applyAlignment="1">
      <alignment horizontal="center" vertical="center"/>
    </xf>
    <xf numFmtId="0" fontId="40" fillId="3" borderId="18" xfId="75" applyFont="1" applyFill="1" applyBorder="1" applyAlignment="1">
      <alignment horizontal="center" vertical="center"/>
    </xf>
    <xf numFmtId="0" fontId="41" fillId="3" borderId="18" xfId="75" applyFont="1" applyFill="1" applyBorder="1" applyAlignment="1">
      <alignment horizontal="center" vertical="center"/>
    </xf>
    <xf numFmtId="0" fontId="41" fillId="3" borderId="11" xfId="75" applyFont="1" applyFill="1" applyBorder="1" applyAlignment="1">
      <alignment horizontal="center" vertical="center"/>
    </xf>
    <xf numFmtId="0" fontId="41" fillId="10" borderId="6" xfId="75" applyFont="1" applyFill="1" applyBorder="1" applyAlignment="1">
      <alignment horizontal="center" vertical="center"/>
    </xf>
    <xf numFmtId="0" fontId="41" fillId="10" borderId="13" xfId="75" applyFont="1" applyFill="1" applyBorder="1" applyAlignment="1">
      <alignment horizontal="center" vertical="center"/>
    </xf>
    <xf numFmtId="0" fontId="41" fillId="0" borderId="12" xfId="75" applyFont="1" applyBorder="1" applyAlignment="1">
      <alignment vertical="center"/>
    </xf>
    <xf numFmtId="0" fontId="40" fillId="3" borderId="18" xfId="75" quotePrefix="1" applyFont="1" applyFill="1" applyBorder="1" applyAlignment="1">
      <alignment horizontal="center" vertical="center"/>
    </xf>
    <xf numFmtId="0" fontId="40" fillId="3" borderId="11" xfId="75" applyFont="1" applyFill="1" applyBorder="1" applyAlignment="1">
      <alignment horizontal="center" vertical="center"/>
    </xf>
    <xf numFmtId="0" fontId="41" fillId="3" borderId="18" xfId="75" quotePrefix="1" applyFont="1" applyFill="1" applyBorder="1" applyAlignment="1">
      <alignment horizontal="center" vertical="center"/>
    </xf>
    <xf numFmtId="0" fontId="41" fillId="3" borderId="11" xfId="75" quotePrefix="1" applyFont="1" applyFill="1" applyBorder="1" applyAlignment="1">
      <alignment horizontal="center" vertical="center"/>
    </xf>
    <xf numFmtId="166" fontId="40" fillId="19" borderId="14" xfId="77" applyNumberFormat="1" applyFont="1" applyFill="1" applyBorder="1" applyAlignment="1">
      <alignment vertical="center" wrapText="1"/>
    </xf>
    <xf numFmtId="0" fontId="40" fillId="3" borderId="6" xfId="75" applyFont="1" applyFill="1" applyBorder="1" applyAlignment="1">
      <alignment horizontal="center" vertical="center" wrapText="1"/>
    </xf>
    <xf numFmtId="0" fontId="40" fillId="3" borderId="0" xfId="75" applyFont="1" applyFill="1" applyBorder="1" applyAlignment="1">
      <alignment horizontal="center" vertical="center"/>
    </xf>
    <xf numFmtId="166" fontId="40" fillId="3" borderId="0" xfId="77" applyNumberFormat="1" applyFont="1" applyFill="1" applyBorder="1" applyAlignment="1">
      <alignment vertical="center"/>
    </xf>
    <xf numFmtId="166" fontId="41" fillId="0" borderId="0" xfId="77" applyNumberFormat="1" applyFont="1" applyBorder="1" applyAlignment="1">
      <alignment vertical="center"/>
    </xf>
    <xf numFmtId="0" fontId="41" fillId="0" borderId="0" xfId="75" applyFont="1" applyBorder="1" applyAlignment="1">
      <alignment vertical="center"/>
    </xf>
    <xf numFmtId="0" fontId="41" fillId="0" borderId="0" xfId="75" applyFont="1" applyBorder="1"/>
    <xf numFmtId="49" fontId="49" fillId="0" borderId="0" xfId="70" applyNumberFormat="1" applyFont="1" applyBorder="1" applyAlignment="1">
      <alignment horizontal="center" vertical="center"/>
    </xf>
    <xf numFmtId="0" fontId="48" fillId="0" borderId="0" xfId="75" applyFont="1" applyAlignment="1">
      <alignment horizontal="left" vertical="center"/>
    </xf>
    <xf numFmtId="166" fontId="48" fillId="0" borderId="0" xfId="75" applyNumberFormat="1" applyFont="1" applyAlignment="1">
      <alignment horizontal="left" vertical="center"/>
    </xf>
    <xf numFmtId="166" fontId="49" fillId="0" borderId="0" xfId="80" quotePrefix="1" applyNumberFormat="1" applyFont="1" applyBorder="1" applyAlignment="1">
      <alignment horizontal="center" vertical="center"/>
    </xf>
    <xf numFmtId="166" fontId="49" fillId="0" borderId="0" xfId="75" applyNumberFormat="1" applyFont="1" applyFill="1" applyBorder="1" applyAlignment="1">
      <alignment horizontal="center" vertical="center"/>
    </xf>
    <xf numFmtId="166" fontId="49" fillId="0" borderId="0" xfId="77" applyNumberFormat="1" applyFont="1" applyBorder="1" applyAlignment="1">
      <alignment horizontal="left" vertical="center"/>
    </xf>
    <xf numFmtId="166" fontId="49" fillId="0" borderId="0" xfId="75" applyNumberFormat="1" applyFont="1" applyBorder="1" applyAlignment="1">
      <alignment horizontal="center" vertical="center"/>
    </xf>
    <xf numFmtId="166" fontId="49" fillId="0" borderId="0" xfId="75" applyNumberFormat="1" applyFont="1" applyAlignment="1">
      <alignment horizontal="center" vertical="center"/>
    </xf>
    <xf numFmtId="166" fontId="49" fillId="0" borderId="0" xfId="77" applyNumberFormat="1" applyFont="1" applyAlignment="1">
      <alignment horizontal="left" vertical="center"/>
    </xf>
    <xf numFmtId="49" fontId="50" fillId="0" borderId="0" xfId="70" applyNumberFormat="1" applyFont="1" applyBorder="1" applyAlignment="1">
      <alignment horizontal="center" vertical="center"/>
    </xf>
    <xf numFmtId="166" fontId="48" fillId="0" borderId="0" xfId="77" applyNumberFormat="1" applyFont="1" applyAlignment="1">
      <alignment horizontal="left" vertical="center"/>
    </xf>
    <xf numFmtId="41" fontId="50" fillId="0" borderId="0" xfId="75" applyNumberFormat="1" applyFont="1" applyBorder="1" applyAlignment="1">
      <alignment horizontal="center"/>
    </xf>
    <xf numFmtId="0" fontId="51" fillId="0" borderId="0" xfId="70" applyFont="1" applyAlignment="1">
      <alignment horizontal="center" vertical="center"/>
    </xf>
    <xf numFmtId="0" fontId="51" fillId="0" borderId="0" xfId="70" applyFont="1" applyAlignment="1">
      <alignment vertical="center"/>
    </xf>
    <xf numFmtId="41" fontId="49" fillId="0" borderId="0" xfId="75" applyNumberFormat="1" applyFont="1" applyAlignment="1">
      <alignment horizontal="center"/>
    </xf>
    <xf numFmtId="166" fontId="48" fillId="0" borderId="0" xfId="75" applyNumberFormat="1" applyFont="1" applyAlignment="1">
      <alignment vertical="center"/>
    </xf>
    <xf numFmtId="0" fontId="49" fillId="0" borderId="0" xfId="70" applyFont="1" applyAlignment="1">
      <alignment horizontal="center" vertical="center"/>
    </xf>
    <xf numFmtId="0" fontId="49" fillId="0" borderId="0" xfId="70" applyFont="1" applyAlignment="1">
      <alignment vertical="center"/>
    </xf>
    <xf numFmtId="43" fontId="41" fillId="0" borderId="0" xfId="77" applyFont="1" applyBorder="1" applyAlignment="1">
      <alignment vertical="center"/>
    </xf>
    <xf numFmtId="43" fontId="41" fillId="0" borderId="0" xfId="77" applyFont="1" applyBorder="1"/>
    <xf numFmtId="166" fontId="41" fillId="0" borderId="0" xfId="77" applyNumberFormat="1" applyFont="1" applyBorder="1"/>
    <xf numFmtId="43" fontId="37" fillId="0" borderId="0" xfId="77" applyFont="1" applyBorder="1"/>
    <xf numFmtId="166" fontId="37" fillId="0" borderId="0" xfId="77" applyNumberFormat="1" applyFont="1" applyBorder="1"/>
    <xf numFmtId="0" fontId="37" fillId="0" borderId="0" xfId="75" applyFont="1" applyBorder="1"/>
    <xf numFmtId="0" fontId="1" fillId="0" borderId="0" xfId="75" applyBorder="1"/>
    <xf numFmtId="10" fontId="45" fillId="0" borderId="14" xfId="37" applyNumberFormat="1" applyFont="1" applyFill="1" applyBorder="1" applyAlignment="1">
      <alignment horizontal="center" vertical="top" wrapText="1"/>
    </xf>
    <xf numFmtId="10" fontId="12" fillId="0" borderId="14" xfId="3" applyNumberFormat="1" applyFont="1" applyFill="1" applyBorder="1" applyAlignment="1">
      <alignment vertical="top"/>
    </xf>
    <xf numFmtId="9" fontId="12" fillId="0" borderId="14" xfId="3" applyNumberFormat="1" applyFont="1" applyFill="1" applyBorder="1" applyAlignment="1">
      <alignment vertical="top"/>
    </xf>
    <xf numFmtId="2" fontId="45" fillId="0" borderId="14" xfId="37" applyNumberFormat="1" applyFont="1" applyFill="1" applyBorder="1" applyAlignment="1">
      <alignment horizontal="center" vertical="top" wrapText="1"/>
    </xf>
    <xf numFmtId="43" fontId="12" fillId="5" borderId="5" xfId="4" applyNumberFormat="1" applyFont="1" applyFill="1" applyBorder="1" applyAlignment="1">
      <alignment horizontal="center" vertical="center"/>
    </xf>
    <xf numFmtId="10" fontId="18" fillId="0" borderId="14" xfId="3" applyNumberFormat="1" applyFont="1" applyBorder="1" applyAlignment="1">
      <alignment vertical="top" wrapText="1"/>
    </xf>
    <xf numFmtId="10" fontId="12" fillId="4" borderId="14" xfId="3" applyNumberFormat="1" applyFont="1" applyFill="1" applyBorder="1" applyAlignment="1">
      <alignment vertical="top" wrapText="1"/>
    </xf>
    <xf numFmtId="0" fontId="15" fillId="0" borderId="0" xfId="4" applyFont="1" applyFill="1" applyAlignment="1">
      <alignment horizontal="center" vertical="center"/>
    </xf>
    <xf numFmtId="41" fontId="15" fillId="0" borderId="0" xfId="2" applyFont="1" applyFill="1" applyAlignment="1">
      <alignment horizontal="center" vertical="center"/>
    </xf>
    <xf numFmtId="41" fontId="15" fillId="0" borderId="0" xfId="4" applyNumberFormat="1" applyFont="1" applyFill="1" applyAlignment="1">
      <alignment horizontal="center" vertical="center"/>
    </xf>
    <xf numFmtId="41" fontId="15" fillId="0" borderId="0" xfId="2" applyFont="1" applyFill="1" applyAlignment="1">
      <alignment vertical="center"/>
    </xf>
    <xf numFmtId="0" fontId="35" fillId="0" borderId="5" xfId="75" applyFont="1" applyBorder="1" applyAlignment="1">
      <alignment horizontal="center" vertical="center" wrapText="1" readingOrder="1"/>
    </xf>
    <xf numFmtId="49" fontId="49" fillId="0" borderId="0" xfId="80" quotePrefix="1" applyNumberFormat="1" applyFont="1" applyBorder="1" applyAlignment="1">
      <alignment horizontal="center" vertical="center"/>
    </xf>
    <xf numFmtId="0" fontId="36" fillId="0" borderId="5" xfId="76" applyFont="1" applyFill="1" applyBorder="1" applyAlignment="1">
      <alignment horizontal="center" vertical="center" wrapText="1"/>
    </xf>
    <xf numFmtId="0" fontId="36" fillId="0" borderId="9" xfId="76" applyFont="1" applyFill="1" applyBorder="1" applyAlignment="1">
      <alignment horizontal="center" vertical="center" wrapText="1"/>
    </xf>
    <xf numFmtId="0" fontId="36" fillId="0" borderId="12" xfId="76" applyFont="1" applyFill="1" applyBorder="1" applyAlignment="1">
      <alignment horizontal="center" vertical="center" wrapText="1"/>
    </xf>
    <xf numFmtId="0" fontId="35" fillId="0" borderId="9" xfId="75" applyFont="1" applyBorder="1" applyAlignment="1">
      <alignment horizontal="center" vertical="center" wrapText="1" readingOrder="1"/>
    </xf>
    <xf numFmtId="0" fontId="35" fillId="0" borderId="12" xfId="75" applyFont="1" applyBorder="1" applyAlignment="1">
      <alignment horizontal="center" vertical="center" wrapText="1" readingOrder="1"/>
    </xf>
    <xf numFmtId="49" fontId="46" fillId="0" borderId="0" xfId="75" applyNumberFormat="1" applyFont="1" applyAlignment="1">
      <alignment horizontal="center"/>
    </xf>
    <xf numFmtId="49" fontId="46" fillId="0" borderId="0" xfId="70" applyNumberFormat="1" applyFont="1" applyAlignment="1">
      <alignment horizontal="center" vertical="center"/>
    </xf>
    <xf numFmtId="0" fontId="35" fillId="0" borderId="14" xfId="75" applyFont="1" applyBorder="1" applyAlignment="1">
      <alignment horizontal="center" vertical="center" wrapText="1" readingOrder="1"/>
    </xf>
    <xf numFmtId="41" fontId="36" fillId="15" borderId="2" xfId="75" applyNumberFormat="1" applyFont="1" applyFill="1" applyBorder="1" applyAlignment="1">
      <alignment horizontal="center" vertical="center" wrapText="1"/>
    </xf>
    <xf numFmtId="41" fontId="36" fillId="15" borderId="4" xfId="75" applyNumberFormat="1" applyFont="1" applyFill="1" applyBorder="1" applyAlignment="1">
      <alignment horizontal="center" vertical="center" wrapText="1"/>
    </xf>
    <xf numFmtId="41" fontId="36" fillId="15" borderId="3" xfId="75" applyNumberFormat="1" applyFont="1" applyFill="1" applyBorder="1" applyAlignment="1">
      <alignment horizontal="center" vertical="center" wrapText="1"/>
    </xf>
    <xf numFmtId="41" fontId="36" fillId="15" borderId="7" xfId="75" applyNumberFormat="1" applyFont="1" applyFill="1" applyBorder="1" applyAlignment="1">
      <alignment horizontal="center" vertical="center" wrapText="1"/>
    </xf>
    <xf numFmtId="41" fontId="36" fillId="15" borderId="0" xfId="75" applyNumberFormat="1" applyFont="1" applyFill="1" applyBorder="1" applyAlignment="1">
      <alignment horizontal="center" vertical="center" wrapText="1"/>
    </xf>
    <xf numFmtId="41" fontId="36" fillId="15" borderId="8" xfId="75" applyNumberFormat="1" applyFont="1" applyFill="1" applyBorder="1" applyAlignment="1">
      <alignment horizontal="center" vertical="center" wrapText="1"/>
    </xf>
    <xf numFmtId="41" fontId="36" fillId="15" borderId="10" xfId="75" applyNumberFormat="1" applyFont="1" applyFill="1" applyBorder="1" applyAlignment="1">
      <alignment horizontal="center" vertical="center" wrapText="1"/>
    </xf>
    <xf numFmtId="41" fontId="36" fillId="15" borderId="18" xfId="75" applyNumberFormat="1" applyFont="1" applyFill="1" applyBorder="1" applyAlignment="1">
      <alignment horizontal="center" vertical="center" wrapText="1"/>
    </xf>
    <xf numFmtId="41" fontId="36" fillId="15" borderId="11" xfId="75" applyNumberFormat="1" applyFont="1" applyFill="1" applyBorder="1" applyAlignment="1">
      <alignment horizontal="center" vertical="center" wrapText="1"/>
    </xf>
    <xf numFmtId="41" fontId="36" fillId="16" borderId="2" xfId="75" applyNumberFormat="1" applyFont="1" applyFill="1" applyBorder="1" applyAlignment="1">
      <alignment horizontal="center" vertical="center" wrapText="1"/>
    </xf>
    <xf numFmtId="41" fontId="36" fillId="16" borderId="4" xfId="75" applyNumberFormat="1" applyFont="1" applyFill="1" applyBorder="1" applyAlignment="1">
      <alignment horizontal="center" vertical="center" wrapText="1"/>
    </xf>
    <xf numFmtId="41" fontId="36" fillId="16" borderId="3" xfId="75" applyNumberFormat="1" applyFont="1" applyFill="1" applyBorder="1" applyAlignment="1">
      <alignment horizontal="center" vertical="center" wrapText="1"/>
    </xf>
    <xf numFmtId="41" fontId="36" fillId="16" borderId="7" xfId="75" applyNumberFormat="1" applyFont="1" applyFill="1" applyBorder="1" applyAlignment="1">
      <alignment horizontal="center" vertical="center" wrapText="1"/>
    </xf>
    <xf numFmtId="41" fontId="36" fillId="16" borderId="0" xfId="75" applyNumberFormat="1" applyFont="1" applyFill="1" applyBorder="1" applyAlignment="1">
      <alignment horizontal="center" vertical="center" wrapText="1"/>
    </xf>
    <xf numFmtId="41" fontId="36" fillId="16" borderId="8" xfId="75" applyNumberFormat="1" applyFont="1" applyFill="1" applyBorder="1" applyAlignment="1">
      <alignment horizontal="center" vertical="center" wrapText="1"/>
    </xf>
    <xf numFmtId="41" fontId="36" fillId="16" borderId="10" xfId="75" applyNumberFormat="1" applyFont="1" applyFill="1" applyBorder="1" applyAlignment="1">
      <alignment horizontal="center" vertical="center" wrapText="1"/>
    </xf>
    <xf numFmtId="41" fontId="36" fillId="16" borderId="18" xfId="75" applyNumberFormat="1" applyFont="1" applyFill="1" applyBorder="1" applyAlignment="1">
      <alignment horizontal="center" vertical="center" wrapText="1"/>
    </xf>
    <xf numFmtId="41" fontId="36" fillId="16" borderId="11" xfId="75" applyNumberFormat="1" applyFont="1" applyFill="1" applyBorder="1" applyAlignment="1">
      <alignment horizontal="center" vertical="center" wrapText="1"/>
    </xf>
    <xf numFmtId="41" fontId="36" fillId="0" borderId="5" xfId="75" applyNumberFormat="1" applyFont="1" applyBorder="1" applyAlignment="1">
      <alignment horizontal="center" vertical="center" wrapText="1"/>
    </xf>
    <xf numFmtId="41" fontId="36" fillId="0" borderId="9" xfId="75" applyNumberFormat="1" applyFont="1" applyBorder="1" applyAlignment="1">
      <alignment horizontal="center" vertical="center" wrapText="1"/>
    </xf>
    <xf numFmtId="49" fontId="33" fillId="0" borderId="0" xfId="69" applyNumberFormat="1" applyFont="1" applyAlignment="1">
      <alignment horizontal="center"/>
    </xf>
    <xf numFmtId="49" fontId="33" fillId="0" borderId="0" xfId="70" applyNumberFormat="1" applyFont="1" applyAlignment="1">
      <alignment horizontal="center" vertical="center"/>
    </xf>
    <xf numFmtId="0" fontId="35" fillId="0" borderId="14" xfId="69" applyFont="1" applyBorder="1" applyAlignment="1">
      <alignment horizontal="center" vertical="center" wrapText="1" readingOrder="1"/>
    </xf>
    <xf numFmtId="0" fontId="35" fillId="0" borderId="5" xfId="69" applyFont="1" applyBorder="1" applyAlignment="1">
      <alignment horizontal="center" vertical="center" wrapText="1" readingOrder="1"/>
    </xf>
    <xf numFmtId="41" fontId="36" fillId="15" borderId="2" xfId="69" applyNumberFormat="1" applyFont="1" applyFill="1" applyBorder="1" applyAlignment="1">
      <alignment horizontal="center" vertical="center" wrapText="1"/>
    </xf>
    <xf numFmtId="41" fontId="36" fillId="15" borderId="4" xfId="69" applyNumberFormat="1" applyFont="1" applyFill="1" applyBorder="1" applyAlignment="1">
      <alignment horizontal="center" vertical="center" wrapText="1"/>
    </xf>
    <xf numFmtId="41" fontId="36" fillId="15" borderId="3" xfId="69" applyNumberFormat="1" applyFont="1" applyFill="1" applyBorder="1" applyAlignment="1">
      <alignment horizontal="center" vertical="center" wrapText="1"/>
    </xf>
    <xf numFmtId="41" fontId="36" fillId="15" borderId="7" xfId="69" applyNumberFormat="1" applyFont="1" applyFill="1" applyBorder="1" applyAlignment="1">
      <alignment horizontal="center" vertical="center" wrapText="1"/>
    </xf>
    <xf numFmtId="41" fontId="36" fillId="15" borderId="0" xfId="69" applyNumberFormat="1" applyFont="1" applyFill="1" applyBorder="1" applyAlignment="1">
      <alignment horizontal="center" vertical="center" wrapText="1"/>
    </xf>
    <xf numFmtId="41" fontId="36" fillId="15" borderId="8" xfId="69" applyNumberFormat="1" applyFont="1" applyFill="1" applyBorder="1" applyAlignment="1">
      <alignment horizontal="center" vertical="center" wrapText="1"/>
    </xf>
    <xf numFmtId="41" fontId="36" fillId="15" borderId="10" xfId="69" applyNumberFormat="1" applyFont="1" applyFill="1" applyBorder="1" applyAlignment="1">
      <alignment horizontal="center" vertical="center" wrapText="1"/>
    </xf>
    <xf numFmtId="41" fontId="36" fillId="15" borderId="18" xfId="69" applyNumberFormat="1" applyFont="1" applyFill="1" applyBorder="1" applyAlignment="1">
      <alignment horizontal="center" vertical="center" wrapText="1"/>
    </xf>
    <xf numFmtId="41" fontId="36" fillId="15" borderId="11" xfId="69" applyNumberFormat="1" applyFont="1" applyFill="1" applyBorder="1" applyAlignment="1">
      <alignment horizontal="center" vertical="center" wrapText="1"/>
    </xf>
    <xf numFmtId="41" fontId="36" fillId="16" borderId="2" xfId="69" applyNumberFormat="1" applyFont="1" applyFill="1" applyBorder="1" applyAlignment="1">
      <alignment horizontal="center" vertical="center" wrapText="1"/>
    </xf>
    <xf numFmtId="41" fontId="36" fillId="16" borderId="4" xfId="69" applyNumberFormat="1" applyFont="1" applyFill="1" applyBorder="1" applyAlignment="1">
      <alignment horizontal="center" vertical="center" wrapText="1"/>
    </xf>
    <xf numFmtId="41" fontId="36" fillId="16" borderId="3" xfId="69" applyNumberFormat="1" applyFont="1" applyFill="1" applyBorder="1" applyAlignment="1">
      <alignment horizontal="center" vertical="center" wrapText="1"/>
    </xf>
    <xf numFmtId="41" fontId="36" fillId="16" borderId="7" xfId="69" applyNumberFormat="1" applyFont="1" applyFill="1" applyBorder="1" applyAlignment="1">
      <alignment horizontal="center" vertical="center" wrapText="1"/>
    </xf>
    <xf numFmtId="41" fontId="36" fillId="16" borderId="0" xfId="69" applyNumberFormat="1" applyFont="1" applyFill="1" applyBorder="1" applyAlignment="1">
      <alignment horizontal="center" vertical="center" wrapText="1"/>
    </xf>
    <xf numFmtId="41" fontId="36" fillId="16" borderId="8" xfId="69" applyNumberFormat="1" applyFont="1" applyFill="1" applyBorder="1" applyAlignment="1">
      <alignment horizontal="center" vertical="center" wrapText="1"/>
    </xf>
    <xf numFmtId="41" fontId="36" fillId="16" borderId="10" xfId="69" applyNumberFormat="1" applyFont="1" applyFill="1" applyBorder="1" applyAlignment="1">
      <alignment horizontal="center" vertical="center" wrapText="1"/>
    </xf>
    <xf numFmtId="41" fontId="36" fillId="16" borderId="18" xfId="69" applyNumberFormat="1" applyFont="1" applyFill="1" applyBorder="1" applyAlignment="1">
      <alignment horizontal="center" vertical="center" wrapText="1"/>
    </xf>
    <xf numFmtId="41" fontId="36" fillId="16" borderId="11" xfId="69" applyNumberFormat="1" applyFont="1" applyFill="1" applyBorder="1" applyAlignment="1">
      <alignment horizontal="center" vertical="center" wrapText="1"/>
    </xf>
    <xf numFmtId="0" fontId="35" fillId="0" borderId="9" xfId="69" applyFont="1" applyBorder="1" applyAlignment="1">
      <alignment horizontal="center" vertical="center" wrapText="1" readingOrder="1"/>
    </xf>
    <xf numFmtId="0" fontId="35" fillId="0" borderId="12" xfId="69" applyFont="1" applyBorder="1" applyAlignment="1">
      <alignment horizontal="center" vertical="center" wrapText="1" readingOrder="1"/>
    </xf>
    <xf numFmtId="41" fontId="36" fillId="0" borderId="5" xfId="69" applyNumberFormat="1" applyFont="1" applyBorder="1" applyAlignment="1">
      <alignment horizontal="center" vertical="center" wrapText="1"/>
    </xf>
    <xf numFmtId="41" fontId="36" fillId="0" borderId="9" xfId="69" applyNumberFormat="1" applyFont="1" applyBorder="1" applyAlignment="1">
      <alignment horizontal="center" vertical="center" wrapText="1"/>
    </xf>
    <xf numFmtId="0" fontId="36" fillId="0" borderId="5" xfId="71" applyFont="1" applyFill="1" applyBorder="1" applyAlignment="1">
      <alignment horizontal="center" vertical="center" wrapText="1"/>
    </xf>
    <xf numFmtId="0" fontId="36" fillId="0" borderId="9" xfId="71" applyFont="1" applyFill="1" applyBorder="1" applyAlignment="1">
      <alignment horizontal="center" vertical="center" wrapText="1"/>
    </xf>
    <xf numFmtId="166" fontId="29" fillId="0" borderId="15" xfId="4" applyNumberFormat="1" applyFont="1" applyFill="1" applyBorder="1" applyAlignment="1">
      <alignment vertical="center"/>
    </xf>
    <xf numFmtId="166" fontId="29" fillId="0" borderId="6" xfId="4" applyNumberFormat="1" applyFont="1" applyFill="1" applyBorder="1" applyAlignment="1">
      <alignment vertical="center"/>
    </xf>
    <xf numFmtId="166" fontId="29" fillId="0" borderId="13" xfId="4" applyNumberFormat="1" applyFont="1" applyFill="1" applyBorder="1" applyAlignment="1">
      <alignment vertical="center"/>
    </xf>
    <xf numFmtId="0" fontId="18" fillId="0" borderId="15" xfId="4" applyFont="1" applyBorder="1" applyAlignment="1">
      <alignment horizontal="right" vertical="center"/>
    </xf>
    <xf numFmtId="0" fontId="18" fillId="0" borderId="6" xfId="4" applyFont="1" applyBorder="1" applyAlignment="1">
      <alignment horizontal="right" vertical="center"/>
    </xf>
    <xf numFmtId="0" fontId="18" fillId="0" borderId="13" xfId="4" applyFont="1" applyBorder="1" applyAlignment="1">
      <alignment horizontal="right" vertical="center"/>
    </xf>
    <xf numFmtId="0" fontId="19" fillId="0" borderId="15" xfId="4" applyFont="1" applyBorder="1" applyAlignment="1">
      <alignment vertical="center"/>
    </xf>
    <xf numFmtId="0" fontId="19" fillId="0" borderId="6" xfId="4" applyFont="1" applyBorder="1" applyAlignment="1">
      <alignment vertical="center"/>
    </xf>
    <xf numFmtId="0" fontId="19" fillId="0" borderId="13" xfId="4" applyFont="1" applyBorder="1" applyAlignment="1">
      <alignment vertical="center"/>
    </xf>
    <xf numFmtId="0" fontId="12" fillId="8" borderId="15" xfId="4" applyFont="1" applyFill="1" applyBorder="1" applyAlignment="1">
      <alignment horizontal="center" vertical="top" wrapText="1"/>
    </xf>
    <xf numFmtId="0" fontId="12" fillId="8" borderId="13" xfId="4" applyFont="1" applyFill="1" applyBorder="1" applyAlignment="1">
      <alignment horizontal="center" vertical="top" wrapText="1"/>
    </xf>
    <xf numFmtId="0" fontId="19" fillId="11" borderId="15" xfId="4" applyFont="1" applyFill="1" applyBorder="1" applyAlignment="1">
      <alignment horizontal="left" vertical="center"/>
    </xf>
    <xf numFmtId="0" fontId="19" fillId="11" borderId="13" xfId="4" applyFont="1" applyFill="1" applyBorder="1" applyAlignment="1">
      <alignment horizontal="left" vertical="center"/>
    </xf>
    <xf numFmtId="0" fontId="12" fillId="0" borderId="7" xfId="5" applyFont="1" applyFill="1" applyBorder="1" applyAlignment="1">
      <alignment horizontal="center" vertical="top" wrapText="1"/>
    </xf>
    <xf numFmtId="0" fontId="12" fillId="0" borderId="8" xfId="5" applyFont="1" applyFill="1" applyBorder="1" applyAlignment="1">
      <alignment horizontal="center" vertical="top" wrapText="1"/>
    </xf>
    <xf numFmtId="0" fontId="12" fillId="0" borderId="10" xfId="5" applyFont="1" applyFill="1" applyBorder="1" applyAlignment="1">
      <alignment horizontal="center" vertical="top" wrapText="1"/>
    </xf>
    <xf numFmtId="0" fontId="12" fillId="0" borderId="11" xfId="5" applyFont="1" applyFill="1" applyBorder="1" applyAlignment="1">
      <alignment horizontal="center" vertical="top" wrapText="1"/>
    </xf>
    <xf numFmtId="0" fontId="11" fillId="2" borderId="2" xfId="4" applyFont="1" applyFill="1" applyBorder="1" applyAlignment="1">
      <alignment horizontal="center" vertical="center" wrapText="1"/>
    </xf>
    <xf numFmtId="0" fontId="11" fillId="2" borderId="3" xfId="4" applyFont="1" applyFill="1" applyBorder="1" applyAlignment="1">
      <alignment horizontal="center" vertical="center" wrapText="1"/>
    </xf>
    <xf numFmtId="0" fontId="11" fillId="2" borderId="7" xfId="4" applyFont="1" applyFill="1" applyBorder="1" applyAlignment="1">
      <alignment horizontal="center" vertical="center" wrapText="1"/>
    </xf>
    <xf numFmtId="0" fontId="11" fillId="2" borderId="8" xfId="4" applyFont="1" applyFill="1" applyBorder="1" applyAlignment="1">
      <alignment horizontal="center" vertical="center" wrapText="1"/>
    </xf>
    <xf numFmtId="0" fontId="11" fillId="2" borderId="10" xfId="4" applyFont="1" applyFill="1" applyBorder="1" applyAlignment="1">
      <alignment horizontal="center" vertical="center" wrapText="1"/>
    </xf>
    <xf numFmtId="0" fontId="11" fillId="2" borderId="11" xfId="4" applyFont="1" applyFill="1" applyBorder="1" applyAlignment="1">
      <alignment horizontal="center" vertical="center" wrapText="1"/>
    </xf>
    <xf numFmtId="0" fontId="12" fillId="7" borderId="15" xfId="4" applyFont="1" applyFill="1" applyBorder="1" applyAlignment="1">
      <alignment horizontal="center" vertical="center"/>
    </xf>
    <xf numFmtId="0" fontId="12" fillId="7" borderId="13" xfId="4" applyFont="1" applyFill="1" applyBorder="1" applyAlignment="1">
      <alignment horizontal="center" vertical="center"/>
    </xf>
    <xf numFmtId="0" fontId="12" fillId="0" borderId="2" xfId="5" applyFont="1" applyFill="1" applyBorder="1" applyAlignment="1">
      <alignment vertical="top" wrapText="1"/>
    </xf>
    <xf numFmtId="0" fontId="12" fillId="0" borderId="3" xfId="5" applyFont="1" applyFill="1" applyBorder="1" applyAlignment="1">
      <alignment vertical="top" wrapText="1"/>
    </xf>
    <xf numFmtId="0" fontId="12" fillId="0" borderId="7" xfId="5" applyFont="1" applyFill="1" applyBorder="1" applyAlignment="1">
      <alignment vertical="top" wrapText="1"/>
    </xf>
    <xf numFmtId="0" fontId="12" fillId="0" borderId="8" xfId="5" applyFont="1" applyFill="1" applyBorder="1" applyAlignment="1">
      <alignment vertical="top" wrapText="1"/>
    </xf>
    <xf numFmtId="0" fontId="15" fillId="0" borderId="15" xfId="4" applyFont="1" applyBorder="1" applyAlignment="1">
      <alignment horizontal="center" vertical="center"/>
    </xf>
    <xf numFmtId="0" fontId="15" fillId="0" borderId="13" xfId="4" applyFont="1" applyBorder="1" applyAlignment="1">
      <alignment horizontal="center" vertical="center"/>
    </xf>
    <xf numFmtId="0" fontId="12" fillId="0" borderId="15" xfId="4" applyFont="1" applyFill="1" applyBorder="1" applyAlignment="1">
      <alignment horizontal="center" vertical="center"/>
    </xf>
    <xf numFmtId="0" fontId="12" fillId="0" borderId="13" xfId="4" applyFont="1" applyFill="1" applyBorder="1" applyAlignment="1">
      <alignment horizontal="center" vertical="center"/>
    </xf>
    <xf numFmtId="0" fontId="11" fillId="2" borderId="5" xfId="4" applyFont="1" applyFill="1" applyBorder="1" applyAlignment="1">
      <alignment horizontal="center" vertical="center" wrapText="1"/>
    </xf>
    <xf numFmtId="0" fontId="11" fillId="2" borderId="9" xfId="4" applyFont="1" applyFill="1" applyBorder="1" applyAlignment="1">
      <alignment horizontal="center" vertical="center" wrapText="1"/>
    </xf>
    <xf numFmtId="0" fontId="11" fillId="2" borderId="12" xfId="4" applyFont="1" applyFill="1" applyBorder="1" applyAlignment="1">
      <alignment horizontal="center" vertical="center" wrapText="1"/>
    </xf>
    <xf numFmtId="0" fontId="15" fillId="0" borderId="2" xfId="4" applyFont="1" applyBorder="1" applyAlignment="1">
      <alignment vertical="top" wrapText="1"/>
    </xf>
    <xf numFmtId="0" fontId="15" fillId="0" borderId="3" xfId="4" applyFont="1" applyBorder="1" applyAlignment="1">
      <alignment vertical="top" wrapText="1"/>
    </xf>
    <xf numFmtId="0" fontId="15" fillId="0" borderId="7" xfId="4" applyFont="1" applyBorder="1" applyAlignment="1">
      <alignment vertical="top" wrapText="1"/>
    </xf>
    <xf numFmtId="0" fontId="15" fillId="0" borderId="8" xfId="4" applyFont="1" applyBorder="1" applyAlignment="1">
      <alignment vertical="top" wrapText="1"/>
    </xf>
    <xf numFmtId="0" fontId="15" fillId="0" borderId="10" xfId="4" applyFont="1" applyBorder="1" applyAlignment="1">
      <alignment vertical="top" wrapText="1"/>
    </xf>
    <xf numFmtId="0" fontId="15" fillId="0" borderId="11" xfId="4" applyFont="1" applyBorder="1" applyAlignment="1">
      <alignment vertical="top" wrapText="1"/>
    </xf>
    <xf numFmtId="0" fontId="12" fillId="5" borderId="15" xfId="4" applyFont="1" applyFill="1" applyBorder="1" applyAlignment="1">
      <alignment horizontal="center" vertical="center"/>
    </xf>
    <xf numFmtId="0" fontId="12" fillId="5" borderId="6" xfId="4" applyFont="1" applyFill="1" applyBorder="1" applyAlignment="1">
      <alignment horizontal="center" vertical="center"/>
    </xf>
    <xf numFmtId="0" fontId="12" fillId="5" borderId="13" xfId="4" applyFont="1" applyFill="1" applyBorder="1" applyAlignment="1">
      <alignment horizontal="center" vertical="center"/>
    </xf>
    <xf numFmtId="0" fontId="12" fillId="0" borderId="10" xfId="5" applyFont="1" applyFill="1" applyBorder="1" applyAlignment="1">
      <alignment vertical="top" wrapText="1"/>
    </xf>
    <xf numFmtId="0" fontId="12" fillId="0" borderId="11" xfId="5" applyFont="1" applyFill="1" applyBorder="1" applyAlignment="1">
      <alignment vertical="top" wrapText="1"/>
    </xf>
    <xf numFmtId="0" fontId="12" fillId="8" borderId="15" xfId="4" applyFont="1" applyFill="1" applyBorder="1" applyAlignment="1">
      <alignment vertical="top" wrapText="1"/>
    </xf>
    <xf numFmtId="0" fontId="12" fillId="8" borderId="13" xfId="4" applyFont="1" applyFill="1" applyBorder="1" applyAlignment="1">
      <alignment vertical="top" wrapText="1"/>
    </xf>
    <xf numFmtId="0" fontId="12" fillId="8" borderId="14" xfId="4" applyFont="1" applyFill="1" applyBorder="1" applyAlignment="1">
      <alignment vertical="top" wrapText="1"/>
    </xf>
    <xf numFmtId="0" fontId="18" fillId="0" borderId="5" xfId="11" applyFont="1" applyFill="1" applyBorder="1" applyAlignment="1">
      <alignment vertical="top" wrapText="1"/>
    </xf>
    <xf numFmtId="0" fontId="18" fillId="0" borderId="9" xfId="11" applyFont="1" applyFill="1" applyBorder="1" applyAlignment="1">
      <alignment vertical="top" wrapText="1"/>
    </xf>
    <xf numFmtId="0" fontId="18" fillId="0" borderId="12" xfId="11" applyFont="1" applyFill="1" applyBorder="1" applyAlignment="1">
      <alignment vertical="top" wrapText="1"/>
    </xf>
    <xf numFmtId="0" fontId="26" fillId="2" borderId="15" xfId="4" applyFont="1" applyFill="1" applyBorder="1" applyAlignment="1">
      <alignment horizontal="center" vertical="center"/>
    </xf>
    <xf numFmtId="0" fontId="26" fillId="2" borderId="13" xfId="4" applyFont="1" applyFill="1" applyBorder="1" applyAlignment="1">
      <alignment horizontal="center" vertical="center"/>
    </xf>
    <xf numFmtId="0" fontId="12" fillId="2" borderId="2" xfId="5" applyFont="1" applyFill="1" applyBorder="1" applyAlignment="1">
      <alignment horizontal="center" vertical="center" wrapText="1"/>
    </xf>
    <xf numFmtId="0" fontId="12" fillId="2" borderId="4" xfId="5" applyFont="1" applyFill="1" applyBorder="1" applyAlignment="1">
      <alignment horizontal="center" vertical="center" wrapText="1"/>
    </xf>
    <xf numFmtId="0" fontId="12" fillId="2" borderId="3" xfId="5" applyFont="1" applyFill="1" applyBorder="1" applyAlignment="1">
      <alignment horizontal="center" vertical="center" wrapText="1"/>
    </xf>
    <xf numFmtId="0" fontId="12" fillId="2" borderId="15" xfId="5" applyFont="1" applyFill="1" applyBorder="1" applyAlignment="1">
      <alignment horizontal="center" vertical="center" wrapText="1"/>
    </xf>
    <xf numFmtId="0" fontId="12" fillId="2" borderId="13" xfId="5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31" fillId="0" borderId="0" xfId="4" applyFont="1" applyAlignment="1">
      <alignment horizontal="center" vertical="center"/>
    </xf>
    <xf numFmtId="0" fontId="28" fillId="0" borderId="0" xfId="4" applyFont="1" applyAlignment="1">
      <alignment vertical="center"/>
    </xf>
    <xf numFmtId="0" fontId="13" fillId="2" borderId="5" xfId="4" applyFont="1" applyFill="1" applyBorder="1" applyAlignment="1">
      <alignment horizontal="center" vertical="center" wrapText="1"/>
    </xf>
    <xf numFmtId="0" fontId="13" fillId="2" borderId="9" xfId="4" applyFont="1" applyFill="1" applyBorder="1" applyAlignment="1">
      <alignment horizontal="center" vertical="center" wrapText="1"/>
    </xf>
    <xf numFmtId="0" fontId="13" fillId="2" borderId="12" xfId="4" applyFont="1" applyFill="1" applyBorder="1" applyAlignment="1">
      <alignment horizontal="center" vertical="center" wrapText="1"/>
    </xf>
    <xf numFmtId="0" fontId="12" fillId="2" borderId="5" xfId="5" applyFont="1" applyFill="1" applyBorder="1" applyAlignment="1">
      <alignment horizontal="center" vertical="center" wrapText="1"/>
    </xf>
    <xf numFmtId="0" fontId="12" fillId="2" borderId="9" xfId="5" applyFont="1" applyFill="1" applyBorder="1" applyAlignment="1">
      <alignment horizontal="center" vertical="center" wrapText="1"/>
    </xf>
    <xf numFmtId="0" fontId="12" fillId="2" borderId="12" xfId="5" applyFont="1" applyFill="1" applyBorder="1" applyAlignment="1">
      <alignment horizontal="center" vertical="center" wrapText="1"/>
    </xf>
    <xf numFmtId="0" fontId="12" fillId="2" borderId="10" xfId="5" applyFont="1" applyFill="1" applyBorder="1" applyAlignment="1">
      <alignment horizontal="center" vertical="center" wrapText="1"/>
    </xf>
    <xf numFmtId="0" fontId="12" fillId="2" borderId="11" xfId="5" applyFont="1" applyFill="1" applyBorder="1" applyAlignment="1">
      <alignment horizontal="center" vertical="center" wrapText="1"/>
    </xf>
    <xf numFmtId="9" fontId="12" fillId="11" borderId="5" xfId="3" applyFont="1" applyFill="1" applyBorder="1" applyAlignment="1">
      <alignment horizontal="center" vertical="top" wrapText="1"/>
    </xf>
    <xf numFmtId="9" fontId="12" fillId="11" borderId="12" xfId="3" applyFont="1" applyFill="1" applyBorder="1" applyAlignment="1">
      <alignment horizontal="center" vertical="top" wrapText="1"/>
    </xf>
    <xf numFmtId="166" fontId="12" fillId="11" borderId="5" xfId="4" applyNumberFormat="1" applyFont="1" applyFill="1" applyBorder="1" applyAlignment="1">
      <alignment horizontal="center" vertical="top"/>
    </xf>
    <xf numFmtId="166" fontId="12" fillId="11" borderId="12" xfId="4" applyNumberFormat="1" applyFont="1" applyFill="1" applyBorder="1" applyAlignment="1">
      <alignment horizontal="center" vertical="top"/>
    </xf>
    <xf numFmtId="9" fontId="12" fillId="0" borderId="5" xfId="3" applyFont="1" applyFill="1" applyBorder="1" applyAlignment="1">
      <alignment horizontal="center" vertical="top" wrapText="1"/>
    </xf>
    <xf numFmtId="9" fontId="12" fillId="0" borderId="12" xfId="3" applyFont="1" applyFill="1" applyBorder="1" applyAlignment="1">
      <alignment horizontal="center" vertical="top" wrapText="1"/>
    </xf>
    <xf numFmtId="3" fontId="18" fillId="0" borderId="5" xfId="4" applyNumberFormat="1" applyFont="1" applyBorder="1" applyAlignment="1">
      <alignment horizontal="center" vertical="top"/>
    </xf>
    <xf numFmtId="3" fontId="18" fillId="0" borderId="12" xfId="4" applyNumberFormat="1" applyFont="1" applyBorder="1" applyAlignment="1">
      <alignment horizontal="center" vertical="top"/>
    </xf>
    <xf numFmtId="168" fontId="18" fillId="0" borderId="5" xfId="10" applyNumberFormat="1" applyFont="1" applyFill="1" applyBorder="1" applyAlignment="1">
      <alignment horizontal="center" vertical="top"/>
    </xf>
    <xf numFmtId="168" fontId="18" fillId="0" borderId="12" xfId="10" applyNumberFormat="1" applyFont="1" applyFill="1" applyBorder="1" applyAlignment="1">
      <alignment horizontal="center" vertical="top"/>
    </xf>
  </cellXfs>
  <cellStyles count="81">
    <cellStyle name="Comma" xfId="1" builtinId="3"/>
    <cellStyle name="Comma [0]" xfId="2" builtinId="6"/>
    <cellStyle name="Comma [0] 10" xfId="13"/>
    <cellStyle name="Comma [0] 16" xfId="14"/>
    <cellStyle name="Comma [0] 2" xfId="15"/>
    <cellStyle name="Comma [0] 2 2" xfId="16"/>
    <cellStyle name="Comma [0] 2 2 2" xfId="8"/>
    <cellStyle name="Comma [0] 2 3" xfId="17"/>
    <cellStyle name="Comma [0] 3" xfId="18"/>
    <cellStyle name="Comma [0] 3 2" xfId="19"/>
    <cellStyle name="Comma [0] 4" xfId="20"/>
    <cellStyle name="Comma [0] 4 2" xfId="21"/>
    <cellStyle name="Comma [0] 5" xfId="74"/>
    <cellStyle name="Comma [0] 6" xfId="22"/>
    <cellStyle name="Comma [0] 7" xfId="80"/>
    <cellStyle name="Comma 10" xfId="77"/>
    <cellStyle name="Comma 11" xfId="23"/>
    <cellStyle name="Comma 11 2" xfId="24"/>
    <cellStyle name="Comma 11 2 2 2" xfId="25"/>
    <cellStyle name="Comma 2" xfId="26"/>
    <cellStyle name="Comma 2 2" xfId="27"/>
    <cellStyle name="Comma 2 3" xfId="28"/>
    <cellStyle name="Comma 2 4" xfId="29"/>
    <cellStyle name="Comma 2 5" xfId="30"/>
    <cellStyle name="Comma 3" xfId="31"/>
    <cellStyle name="Comma 3 2" xfId="79"/>
    <cellStyle name="Comma 3 3" xfId="32"/>
    <cellStyle name="Comma 4" xfId="33"/>
    <cellStyle name="Comma 4 2" xfId="6"/>
    <cellStyle name="Comma 5" xfId="34"/>
    <cellStyle name="Comma 6" xfId="35"/>
    <cellStyle name="Comma 7" xfId="10"/>
    <cellStyle name="Comma 8" xfId="36"/>
    <cellStyle name="Comma 9" xfId="72"/>
    <cellStyle name="Normal" xfId="0" builtinId="0"/>
    <cellStyle name="Normal 10" xfId="37"/>
    <cellStyle name="Normal 10 2" xfId="38"/>
    <cellStyle name="Normal 10 2 2" xfId="39"/>
    <cellStyle name="Normal 10 2 2 2" xfId="40"/>
    <cellStyle name="Normal 10 2 4 2" xfId="41"/>
    <cellStyle name="Normal 10 3" xfId="42"/>
    <cellStyle name="Normal 11" xfId="43"/>
    <cellStyle name="Normal 12" xfId="75"/>
    <cellStyle name="Normal 18" xfId="44"/>
    <cellStyle name="Normal 18 2 2" xfId="45"/>
    <cellStyle name="Normal 18 2 2 2" xfId="46"/>
    <cellStyle name="Normal 2" xfId="47"/>
    <cellStyle name="Normal 2 2" xfId="48"/>
    <cellStyle name="Normal 2 2 2" xfId="49"/>
    <cellStyle name="Normal 2 2 2 2" xfId="5"/>
    <cellStyle name="Normal 2 2 2 3" xfId="70"/>
    <cellStyle name="Normal 2 2 3" xfId="50"/>
    <cellStyle name="Normal 2 3" xfId="51"/>
    <cellStyle name="Normal 2 3 2" xfId="52"/>
    <cellStyle name="Normal 2 3 2 3" xfId="71"/>
    <cellStyle name="Normal 2 3 2 3 2" xfId="76"/>
    <cellStyle name="Normal 2 4" xfId="53"/>
    <cellStyle name="Normal 2 5" xfId="7"/>
    <cellStyle name="Normal 29" xfId="54"/>
    <cellStyle name="Normal 3" xfId="55"/>
    <cellStyle name="Normal 3 2" xfId="56"/>
    <cellStyle name="Normal 3 2 2" xfId="11"/>
    <cellStyle name="Normal 3 3" xfId="9"/>
    <cellStyle name="Normal 37" xfId="57"/>
    <cellStyle name="Normal 37 2" xfId="58"/>
    <cellStyle name="Normal 4" xfId="59"/>
    <cellStyle name="Normal 5" xfId="60"/>
    <cellStyle name="Normal 6" xfId="61"/>
    <cellStyle name="Normal 7" xfId="4"/>
    <cellStyle name="Normal 8" xfId="69"/>
    <cellStyle name="Normal 9" xfId="62"/>
    <cellStyle name="Output 2" xfId="63"/>
    <cellStyle name="Percent" xfId="3" builtinId="5"/>
    <cellStyle name="Percent 2" xfId="64"/>
    <cellStyle name="Percent 2 2" xfId="65"/>
    <cellStyle name="Percent 3" xfId="66"/>
    <cellStyle name="Percent 3 2" xfId="12"/>
    <cellStyle name="Percent 4" xfId="67"/>
    <cellStyle name="Percent 5" xfId="68"/>
    <cellStyle name="Percent 6" xfId="73"/>
    <cellStyle name="Percent 7" xfId="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235857</xdr:colOff>
      <xdr:row>181</xdr:row>
      <xdr:rowOff>18143</xdr:rowOff>
    </xdr:from>
    <xdr:to>
      <xdr:col>37</xdr:col>
      <xdr:colOff>462643</xdr:colOff>
      <xdr:row>189</xdr:row>
      <xdr:rowOff>145143</xdr:rowOff>
    </xdr:to>
    <xdr:grpSp>
      <xdr:nvGrpSpPr>
        <xdr:cNvPr id="4" name="Group 3"/>
        <xdr:cNvGrpSpPr/>
      </xdr:nvGrpSpPr>
      <xdr:grpSpPr>
        <a:xfrm>
          <a:off x="29200928" y="173781357"/>
          <a:ext cx="2240644" cy="1723572"/>
          <a:chOff x="0" y="0"/>
          <a:chExt cx="1778000" cy="1282700"/>
        </a:xfrm>
      </xdr:grpSpPr>
      <xdr:pic>
        <xdr:nvPicPr>
          <xdr:cNvPr id="5" name="Picture 4" descr="J:\BIAYA TAHUN 2022\STEMPEL.jpeg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clrChange>
              <a:clrFrom>
                <a:srgbClr val="AFAFAF"/>
              </a:clrFrom>
              <a:clrTo>
                <a:srgbClr val="AFAFA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157" t="29420" r="15457" b="39464"/>
          <a:stretch/>
        </xdr:blipFill>
        <xdr:spPr bwMode="auto">
          <a:xfrm>
            <a:off x="0" y="31750"/>
            <a:ext cx="1295400" cy="125095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8450" y="0"/>
            <a:ext cx="1479550" cy="128270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LINA/BIAYA%20TAHUN%202023-update%206%20sept%202023/BPKD/SPJ%202023/12%20SPJ%20DESEMBER%202023-KEC%20PPT/LRA%20MANUAL%20DESEMBER%20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BIAYA%20TAHUN%202022/BPKD%202022/SPJ%202022/12%20SPJ%20DESEMBER%202022/02%20SPJ%20FEBRUARI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BIAYA%20TAHUN%202019/SPJ%202019/12%20%20SPJ%20DES%202019%20PERUBAHAN%20ok%20ce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BIAYA%20TAHUN%202020/SPJ%202020%20DIPAKAI%20OK/SPJ%202020-CES%20OK/12%20SPJ%20DESEMBER%20PERUBAHAN%20DIPAKAI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BIAYA%20TAHUN%202021/KE%20BPKD%202021/SPJ%20CATIM%202021-BEND%20HENDRO/LAPORAN%20SPJ%20DES%202021-CATIM/SPJ%20FUNGS/1%20LRA%20BM%20MANUAL-LRA%20SP2D-SPJ%20FUNGS%20DES%202021-ok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BIAYA%20TAHUN%202022/BPKD/SPJ%202022/SPJ%20JAN%202022/LRA%20BM-SP2D-SPJ%20FUNGS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LINA/BIAYA%20TAHUN%202023-update%206%20sept%202023/BPKD/SPJ%202023/12%20SPJ%20DESEMBER%202023-KEC%20PPT/11%20SPJ%20NOV%20PERUBAH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LINA/BIAYA%20TAHUN%202023-update%206%20sept%202023/BPKD/SPJ%202023/12%20SPJ%20DESEMBER%202023-KEC%20PPT/1%20SPJ%20JANUAR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LINA/BIAYA%20TAHUN%202023-update%206%20sept%202023/BPKD/SPJ%202023/12%20SPJ%20DESEMBER%202023-KEC%20PPT/8%20SPJ%20AGUST%20RECUFUSI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LINA/BIAYA%20TAHUN%202023-update%206%20sept%202023/BPKD/SPJ%202023/12%20SPJ%20DESEMBER%202023-KEC%20PPT/2%20SPJ%20FEBRUAR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LINA/BIAYA%20TAHUN%202023-update%206%20sept%202023/BPKD/SPJ%202023/12%20SPJ%20DESEMBER%202023-KEC%20PPT/5%20SPJ%20MEI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LINA/BIAYA%20TAHUN%202023-update%206%20sept%202023/BPKD/SPJ%202023/12%20SPJ%20DESEMBER%202023-KEC%20PPT/9%20SPJ%20SEPT%20RECUFUSIN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IAYA%20TAHUN%202022/BPKD%202022/SPJ%202022/12%20SPJ%20DESEMBER%202022/9%20LRA%20DESEMBER%202022-KECPP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IAYA%20TAHUN%202022/BPKD%202022/SPJ%202022/12%20SPJ%20DESEMBER%202022/11%20SPJ%20NOVEMBER-PERUBAH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A BM"/>
      <sheetName val="LRA SP2D"/>
      <sheetName val="SPJ FUNGSIONAL "/>
      <sheetName val="Sheet1"/>
    </sheetNames>
    <sheetDataSet>
      <sheetData sheetId="0"/>
      <sheetData sheetId="1"/>
      <sheetData sheetId="2">
        <row r="30">
          <cell r="O30">
            <v>3590591863</v>
          </cell>
          <cell r="P30">
            <v>3334856563</v>
          </cell>
          <cell r="Q30">
            <v>255565400</v>
          </cell>
        </row>
        <row r="31">
          <cell r="O31">
            <v>334569424</v>
          </cell>
          <cell r="P31">
            <v>305903269</v>
          </cell>
          <cell r="Q31">
            <v>23419725</v>
          </cell>
        </row>
        <row r="32">
          <cell r="O32">
            <v>340430000</v>
          </cell>
          <cell r="P32">
            <v>313480000</v>
          </cell>
          <cell r="Q32">
            <v>23680000</v>
          </cell>
        </row>
        <row r="33">
          <cell r="O33">
            <v>70400000</v>
          </cell>
          <cell r="P33">
            <v>57955000</v>
          </cell>
          <cell r="Q33">
            <v>4390000</v>
          </cell>
        </row>
        <row r="34">
          <cell r="O34">
            <v>207269060</v>
          </cell>
          <cell r="P34">
            <v>187389164</v>
          </cell>
          <cell r="Q34">
            <v>14532280</v>
          </cell>
        </row>
        <row r="35">
          <cell r="O35">
            <v>1712731</v>
          </cell>
          <cell r="P35">
            <v>1370276</v>
          </cell>
          <cell r="Q35">
            <v>63844</v>
          </cell>
        </row>
        <row r="36">
          <cell r="O36">
            <v>72213</v>
          </cell>
          <cell r="P36">
            <v>41761</v>
          </cell>
          <cell r="Q36">
            <v>3378</v>
          </cell>
        </row>
        <row r="37">
          <cell r="O37">
            <v>291069871</v>
          </cell>
          <cell r="P37">
            <v>262075541</v>
          </cell>
          <cell r="Q37">
            <v>25189758</v>
          </cell>
        </row>
        <row r="38">
          <cell r="O38">
            <v>7465059</v>
          </cell>
          <cell r="P38">
            <v>6749441</v>
          </cell>
          <cell r="Q38">
            <v>613359</v>
          </cell>
        </row>
        <row r="39">
          <cell r="O39">
            <v>22395107</v>
          </cell>
          <cell r="P39">
            <v>20248282</v>
          </cell>
          <cell r="Q39">
            <v>1840075</v>
          </cell>
        </row>
        <row r="42">
          <cell r="O42">
            <v>3841664969</v>
          </cell>
          <cell r="P42">
            <v>3508959445</v>
          </cell>
          <cell r="Q42">
            <v>326824134</v>
          </cell>
        </row>
        <row r="50">
          <cell r="O50">
            <v>16884300</v>
          </cell>
          <cell r="Y50">
            <v>12970400</v>
          </cell>
          <cell r="Z50">
            <v>2119000</v>
          </cell>
        </row>
        <row r="56">
          <cell r="N56" t="str">
            <v>Belanja Alat/Bahan Untuk Kegiatan Kantor-ATK</v>
          </cell>
          <cell r="O56">
            <v>11288800</v>
          </cell>
          <cell r="Y56">
            <v>8408240</v>
          </cell>
          <cell r="Z56">
            <v>1697200</v>
          </cell>
        </row>
        <row r="57">
          <cell r="N57" t="str">
            <v>Belanja Alat/Bahan Untuk Kegiatan Kantor-Kertas dan Cover</v>
          </cell>
          <cell r="O57">
            <v>43091100</v>
          </cell>
          <cell r="Y57">
            <v>37883200</v>
          </cell>
          <cell r="Z57">
            <v>2288000</v>
          </cell>
        </row>
        <row r="58">
          <cell r="N58" t="str">
            <v>Belanja Alat/Bahan Untuk Kegiatan Kantor-Bahan Cetak</v>
          </cell>
          <cell r="O58">
            <v>0</v>
          </cell>
        </row>
        <row r="59">
          <cell r="N59" t="str">
            <v>Belanja Alat/Bahan Untuk Kegiatan Kantor-Bahan Komputer</v>
          </cell>
          <cell r="O59">
            <v>32328300</v>
          </cell>
          <cell r="Y59">
            <v>25912600</v>
          </cell>
          <cell r="Z59">
            <v>4677000</v>
          </cell>
        </row>
        <row r="60">
          <cell r="N60" t="str">
            <v xml:space="preserve">Belanja Alat/Bahan Untuk Kegiatan Kantor-Perabot Kantor </v>
          </cell>
          <cell r="O60">
            <v>10726200</v>
          </cell>
          <cell r="Y60">
            <v>9931900</v>
          </cell>
        </row>
        <row r="61">
          <cell r="N61" t="str">
            <v xml:space="preserve">Belanja Alat/Bahan Untuk Kegiatan Kantor-Alat/Bahan untuk Kegiatan Kantor Lainnya </v>
          </cell>
          <cell r="O61">
            <v>21814600</v>
          </cell>
          <cell r="Y61">
            <v>18332595</v>
          </cell>
          <cell r="Z61">
            <v>1863500</v>
          </cell>
        </row>
        <row r="62">
          <cell r="N62" t="str">
            <v>Belanja Natura dan Pakan-Natura</v>
          </cell>
          <cell r="O62">
            <v>0</v>
          </cell>
        </row>
        <row r="63">
          <cell r="Y63">
            <v>4400000</v>
          </cell>
        </row>
        <row r="64">
          <cell r="Y64">
            <v>4400000</v>
          </cell>
        </row>
        <row r="65">
          <cell r="O65">
            <v>4800000</v>
          </cell>
          <cell r="Y65">
            <v>4400000</v>
          </cell>
          <cell r="Z65">
            <v>400000</v>
          </cell>
        </row>
        <row r="71">
          <cell r="N71" t="str">
            <v>Belanja Alat/Bahan Untuk Kegiatan Kantor-Bahan Cetak</v>
          </cell>
          <cell r="O71">
            <v>33230650</v>
          </cell>
          <cell r="Y71">
            <v>15000650</v>
          </cell>
          <cell r="Z71">
            <v>9842100</v>
          </cell>
        </row>
        <row r="77">
          <cell r="O77">
            <v>65652000</v>
          </cell>
          <cell r="Y77">
            <v>46894650</v>
          </cell>
          <cell r="Z77">
            <v>12467000</v>
          </cell>
        </row>
        <row r="80">
          <cell r="O80">
            <v>126191000</v>
          </cell>
          <cell r="Y80">
            <v>95851988</v>
          </cell>
          <cell r="Z80">
            <v>22984250</v>
          </cell>
        </row>
        <row r="82">
          <cell r="N82" t="str">
            <v xml:space="preserve">PENGADAAN BARANG MILIK DAERAH PENUNJANG URUSAN PEMERINTAH DAERAH </v>
          </cell>
        </row>
        <row r="85">
          <cell r="N85" t="str">
            <v>Belanja Modal</v>
          </cell>
        </row>
        <row r="86">
          <cell r="N86" t="str">
            <v xml:space="preserve">Belanja Modal Peralatan dan Mesin </v>
          </cell>
        </row>
        <row r="87">
          <cell r="N87" t="str">
            <v>Belanja Modal Alat Kantor dan Rumah Tangga</v>
          </cell>
        </row>
        <row r="88">
          <cell r="N88" t="str">
            <v>Belanja Modal Meja dan Kursi kerja/Rapat Pejabat</v>
          </cell>
        </row>
        <row r="89">
          <cell r="N89" t="str">
            <v xml:space="preserve">Belanja Modal Kursi Kerja Pejabat </v>
          </cell>
          <cell r="O89">
            <v>4040500</v>
          </cell>
          <cell r="Z89">
            <v>4030000</v>
          </cell>
        </row>
        <row r="90">
          <cell r="N90" t="str">
            <v xml:space="preserve">Belanja Modal Lemari dan Arsip Pejabat </v>
          </cell>
          <cell r="O90">
            <v>2886000</v>
          </cell>
          <cell r="Z90">
            <v>2800000</v>
          </cell>
        </row>
        <row r="91">
          <cell r="N91" t="str">
            <v>Belanja Modal Komputer</v>
          </cell>
        </row>
        <row r="92">
          <cell r="N92" t="str">
            <v>Belanja Modal Komputer Unit</v>
          </cell>
        </row>
        <row r="93">
          <cell r="N93" t="str">
            <v xml:space="preserve">Belanja Modal Personal Komputer (Laptop) </v>
          </cell>
          <cell r="O93">
            <v>32000000</v>
          </cell>
          <cell r="Z93">
            <v>0</v>
          </cell>
          <cell r="AA93">
            <v>31000000</v>
          </cell>
        </row>
        <row r="94">
          <cell r="N94" t="str">
            <v>Belanja Modal Peralatan Komputer</v>
          </cell>
        </row>
        <row r="95">
          <cell r="N95" t="str">
            <v xml:space="preserve">Belanja Modal Peralatan Personal Komputer (Printer) </v>
          </cell>
          <cell r="O95">
            <v>5600000</v>
          </cell>
          <cell r="Z95">
            <v>5400000</v>
          </cell>
        </row>
        <row r="103">
          <cell r="N103" t="str">
            <v>Belanja Alat/Bahan untuk Kegiatan Kantor-Benda Pos</v>
          </cell>
          <cell r="O103">
            <v>1300000</v>
          </cell>
          <cell r="Y103">
            <v>950000</v>
          </cell>
          <cell r="Z103">
            <v>150000</v>
          </cell>
        </row>
        <row r="108">
          <cell r="O108">
            <v>3692000</v>
          </cell>
          <cell r="Y108">
            <v>2341988</v>
          </cell>
          <cell r="Z108">
            <v>121740</v>
          </cell>
        </row>
        <row r="109">
          <cell r="O109">
            <v>22692000</v>
          </cell>
          <cell r="Y109">
            <v>17053300</v>
          </cell>
          <cell r="Z109">
            <v>718600</v>
          </cell>
        </row>
        <row r="110">
          <cell r="O110">
            <v>47541832</v>
          </cell>
          <cell r="Y110">
            <v>27907295</v>
          </cell>
          <cell r="Z110">
            <v>3653494</v>
          </cell>
        </row>
        <row r="115">
          <cell r="N115" t="str">
            <v xml:space="preserve">Belanja Jasa Tenaga Administrasi </v>
          </cell>
          <cell r="O115">
            <v>389900000</v>
          </cell>
          <cell r="Y115">
            <v>321700000</v>
          </cell>
          <cell r="Z115">
            <v>64400000</v>
          </cell>
        </row>
        <row r="116">
          <cell r="N116" t="str">
            <v xml:space="preserve">Belanja Jasa Tenaga Kebersihan </v>
          </cell>
          <cell r="O116">
            <v>228080000</v>
          </cell>
          <cell r="Y116">
            <v>182160000</v>
          </cell>
          <cell r="Z116">
            <v>34800000</v>
          </cell>
        </row>
        <row r="117">
          <cell r="N117" t="str">
            <v xml:space="preserve">Belanja Jasa Tenaga Keamanan </v>
          </cell>
          <cell r="O117">
            <v>305500000</v>
          </cell>
          <cell r="Y117">
            <v>256060000</v>
          </cell>
          <cell r="Z117">
            <v>48800000</v>
          </cell>
        </row>
        <row r="118">
          <cell r="N118" t="str">
            <v xml:space="preserve">Belanja Jasa Tenaga Sopir </v>
          </cell>
          <cell r="O118">
            <v>45080000</v>
          </cell>
          <cell r="Y118">
            <v>37320000</v>
          </cell>
          <cell r="Z118">
            <v>7520000</v>
          </cell>
        </row>
        <row r="120">
          <cell r="N120" t="str">
            <v xml:space="preserve">Belanja Iuran Jaminan Kecelakaan Kerja Bagi Non PNS </v>
          </cell>
          <cell r="O120">
            <v>2726400</v>
          </cell>
          <cell r="Y120">
            <v>2439360</v>
          </cell>
          <cell r="Z120">
            <v>221760</v>
          </cell>
        </row>
        <row r="121">
          <cell r="N121" t="str">
            <v xml:space="preserve">Belanja Iuran Jaminan Kematian Bagi Non PNS </v>
          </cell>
          <cell r="O121">
            <v>3390800</v>
          </cell>
          <cell r="Y121">
            <v>3033800</v>
          </cell>
          <cell r="Z121">
            <v>275800</v>
          </cell>
        </row>
        <row r="130">
          <cell r="N130" t="str">
            <v>Belanja Bahan-Bahan Bakar dan Pelumas</v>
          </cell>
          <cell r="O130">
            <v>88545970</v>
          </cell>
          <cell r="Y130">
            <v>80511025</v>
          </cell>
          <cell r="Z130">
            <v>6151950</v>
          </cell>
        </row>
        <row r="131">
          <cell r="N131" t="str">
            <v>Belanja Bahan-Isi Tabung Gas</v>
          </cell>
          <cell r="O131">
            <v>259800</v>
          </cell>
          <cell r="Z131">
            <v>0</v>
          </cell>
          <cell r="AA131">
            <v>250000</v>
          </cell>
        </row>
        <row r="134">
          <cell r="N134" t="str">
            <v xml:space="preserve">Belanja Pembayaran Pajak, Bea dan Perizinan </v>
          </cell>
          <cell r="O134">
            <v>15685000</v>
          </cell>
          <cell r="Y134">
            <v>4406600</v>
          </cell>
          <cell r="Z134">
            <v>2662450</v>
          </cell>
        </row>
        <row r="137">
          <cell r="N137" t="str">
            <v>Belanja Pemeliharaan Alat Angkutan - Alat Angkutan Darat Bermotor - Kendaraan Dinas Bermotor Perorangan</v>
          </cell>
          <cell r="O137">
            <v>22500000</v>
          </cell>
          <cell r="Y137">
            <v>16907500</v>
          </cell>
          <cell r="Z137">
            <v>0</v>
          </cell>
        </row>
        <row r="138">
          <cell r="N138" t="str">
            <v xml:space="preserve">Belanja Pemeliharaan Alat Angkutan - Alat Angkutan Darat Bermotor - Kendaraan Dinas Bermotor Beroda Dua </v>
          </cell>
          <cell r="O138">
            <v>25600000</v>
          </cell>
          <cell r="Y138">
            <v>15726000</v>
          </cell>
          <cell r="Z138">
            <v>3756500</v>
          </cell>
        </row>
        <row r="144">
          <cell r="N144" t="str">
            <v>Belanja Pemeliharaan Peralatan Kantor dan Rumah Tangga - Alat Kantor - Alat Kantor Lainnya</v>
          </cell>
          <cell r="O144">
            <v>26500000</v>
          </cell>
          <cell r="Y144">
            <v>16110000</v>
          </cell>
          <cell r="Z144">
            <v>10350000</v>
          </cell>
        </row>
        <row r="145">
          <cell r="N145" t="str">
            <v xml:space="preserve">Belanja Pemeliharaan Komputer - Komputer Unit - Personal Computer </v>
          </cell>
          <cell r="O145">
            <v>23330000</v>
          </cell>
          <cell r="Y145">
            <v>9890000</v>
          </cell>
          <cell r="Z145">
            <v>4480000</v>
          </cell>
        </row>
        <row r="146">
          <cell r="N146" t="str">
            <v xml:space="preserve">Belanja Pemeliharaan Komputer - Peralatan Komputer - Peralatan Personal Komputer </v>
          </cell>
          <cell r="O146">
            <v>8200000</v>
          </cell>
          <cell r="Y146">
            <v>2390000</v>
          </cell>
          <cell r="Z146">
            <v>1160000</v>
          </cell>
        </row>
        <row r="147">
          <cell r="N147" t="str">
            <v xml:space="preserve">Belanja Pemeliharaan Rambu-Rambu-Rambu-Rambu Lalu Lintas Darat-Rambu-Rambu Lalu Darat Lainnya (Plang Asmaul Husna Kt. Panjang) </v>
          </cell>
          <cell r="O147">
            <v>19800000</v>
          </cell>
          <cell r="Z147">
            <v>19800000</v>
          </cell>
        </row>
        <row r="153">
          <cell r="N153" t="str">
            <v xml:space="preserve">Belanja Pemeliharaan Bangunan Gedung - Bangunan Gedung Tempat Kerja - Bangunan Gedung Kantor </v>
          </cell>
          <cell r="O153">
            <v>71453064</v>
          </cell>
          <cell r="W153">
            <v>0</v>
          </cell>
          <cell r="Z153">
            <v>4671200</v>
          </cell>
        </row>
        <row r="154">
          <cell r="N154" t="str">
            <v xml:space="preserve">Belanja Modal </v>
          </cell>
        </row>
        <row r="155">
          <cell r="N155" t="str">
            <v xml:space="preserve">Belanja Modal Peralatan dan Mesin </v>
          </cell>
        </row>
        <row r="156">
          <cell r="N156" t="str">
            <v>Belanja Modal Alat Kantor dan Rumah Tangga</v>
          </cell>
        </row>
        <row r="157">
          <cell r="N157" t="str">
            <v xml:space="preserve">Belanja Modal Alat Kantor </v>
          </cell>
        </row>
        <row r="158">
          <cell r="N158" t="str">
            <v>Belanja Modal Alat Kantor Lainnya (BM Plang Nama Ngalau)</v>
          </cell>
          <cell r="O158">
            <v>9000000</v>
          </cell>
          <cell r="Z158">
            <v>8750000</v>
          </cell>
        </row>
        <row r="159">
          <cell r="N159" t="str">
            <v xml:space="preserve">Belanja Modal Gedung dan Bangunan </v>
          </cell>
        </row>
        <row r="160">
          <cell r="N160" t="str">
            <v xml:space="preserve">Belanja Modal Bangunan Gedung </v>
          </cell>
        </row>
        <row r="161">
          <cell r="N161" t="str">
            <v xml:space="preserve">Belanja Modal Bangunan Gedung Tempat Kerja </v>
          </cell>
        </row>
        <row r="162">
          <cell r="N162" t="str">
            <v>Belanja Modal Bangunan Gedung Kantor (Gedung Kantor Lurah TPL)</v>
          </cell>
          <cell r="O162">
            <v>176580000</v>
          </cell>
          <cell r="T162">
            <v>0</v>
          </cell>
          <cell r="Z162">
            <v>0</v>
          </cell>
          <cell r="AB162">
            <v>175794872.19999999</v>
          </cell>
        </row>
        <row r="172">
          <cell r="N172" t="str">
            <v>Belanja Bahan-Bahan Bakar dan Pelumas</v>
          </cell>
          <cell r="O172">
            <v>113805160</v>
          </cell>
          <cell r="Y172">
            <v>88902000</v>
          </cell>
          <cell r="Z172">
            <v>14721750</v>
          </cell>
        </row>
        <row r="173">
          <cell r="N173" t="str">
            <v xml:space="preserve">Belanja Alat/Bahan Untuk Kegiatan Kantor-Perabot Kantor </v>
          </cell>
          <cell r="O173">
            <v>8400800</v>
          </cell>
          <cell r="Y173">
            <v>7296400</v>
          </cell>
          <cell r="Z173">
            <v>525000</v>
          </cell>
        </row>
        <row r="174">
          <cell r="N174" t="str">
            <v>Belanja Alat/Bahan Untuk Kegiatan Kantor-Alat/Bahan Untuk Kegiatan Kantor Lainnya</v>
          </cell>
          <cell r="O174">
            <v>6178300</v>
          </cell>
          <cell r="Y174">
            <v>5944100</v>
          </cell>
          <cell r="Z174">
            <v>0</v>
          </cell>
        </row>
        <row r="177">
          <cell r="N177" t="str">
            <v>Belanja Jasa Tenaga Kebersihan</v>
          </cell>
          <cell r="O177">
            <v>1473600000</v>
          </cell>
          <cell r="Y177">
            <v>1238800000</v>
          </cell>
          <cell r="Z177">
            <v>233760000</v>
          </cell>
        </row>
        <row r="178">
          <cell r="N178" t="str">
            <v xml:space="preserve">Belanja Pembayaran Pajak, Bea dan Perizinan </v>
          </cell>
          <cell r="O178">
            <v>2400000</v>
          </cell>
          <cell r="Y178">
            <v>785000</v>
          </cell>
          <cell r="Z178">
            <v>250000</v>
          </cell>
        </row>
        <row r="180">
          <cell r="N180" t="str">
            <v>Belanja Iuran Jaminan Kecelakaan Kerja bagi Non ASN</v>
          </cell>
          <cell r="O180">
            <v>3758400</v>
          </cell>
          <cell r="Y180">
            <v>3041280</v>
          </cell>
          <cell r="Z180">
            <v>259200</v>
          </cell>
        </row>
        <row r="181">
          <cell r="N181" t="str">
            <v>Belanja Iuran Jaminan Kematian bagi Non ASN</v>
          </cell>
          <cell r="O181">
            <v>5235840</v>
          </cell>
          <cell r="Y181">
            <v>3801600</v>
          </cell>
          <cell r="Z181">
            <v>362880</v>
          </cell>
        </row>
        <row r="184">
          <cell r="N184" t="str">
            <v>Belanja Pemeliharaan Alat Angkutan-Alat angkutan Darat Bermotor-Kendaraan Bermotor Beroda Tiga</v>
          </cell>
          <cell r="O184">
            <v>24000000</v>
          </cell>
          <cell r="Y184">
            <v>22588000</v>
          </cell>
          <cell r="Z184">
            <v>589500</v>
          </cell>
        </row>
        <row r="185">
          <cell r="N185" t="str">
            <v xml:space="preserve">Belanja Uang dan/atau jasa Untuk Diberikan Kepada Pihak Ketiga/Pihak Lain/Masyarakat </v>
          </cell>
        </row>
        <row r="186">
          <cell r="N186" t="str">
            <v xml:space="preserve">Belanja Uang yang Diberikan Kepada Pihak Ketiga/Pihak Lain/Masyarakat </v>
          </cell>
        </row>
        <row r="187">
          <cell r="N187" t="str">
            <v xml:space="preserve">Belanja Penghargaan atas suatu Prestasi (Reward-Petugas Kebersihan Lapngan-Reward Adipura) </v>
          </cell>
          <cell r="O187">
            <v>24000000</v>
          </cell>
          <cell r="Z187">
            <v>0</v>
          </cell>
          <cell r="AA187">
            <v>24000000</v>
          </cell>
        </row>
        <row r="195">
          <cell r="N195" t="str">
            <v>Belanja Alat/Bahan Untuk Kegiatan Kantor-ATK</v>
          </cell>
          <cell r="O195">
            <v>413600</v>
          </cell>
          <cell r="Y195">
            <v>209500</v>
          </cell>
          <cell r="Z195">
            <v>0</v>
          </cell>
        </row>
        <row r="196">
          <cell r="N196" t="str">
            <v>Belanja Alat/Bahan Untuk Kegiatan Kantor-Kertas dan Cover</v>
          </cell>
          <cell r="O196">
            <v>2601800</v>
          </cell>
          <cell r="Y196">
            <v>1612600</v>
          </cell>
          <cell r="Z196">
            <v>879000</v>
          </cell>
        </row>
        <row r="197">
          <cell r="N197" t="str">
            <v>Belanja Alat/Bahan Untuk Kegiatan Kantor-Bahan Cetak</v>
          </cell>
          <cell r="O197">
            <v>13568450</v>
          </cell>
          <cell r="Y197">
            <v>8215400</v>
          </cell>
          <cell r="Z197">
            <v>1920900</v>
          </cell>
        </row>
        <row r="198">
          <cell r="N198" t="str">
            <v>Belanja Alat/Bahan Untuk Kegiatan Kantor-Bahan Komputer</v>
          </cell>
          <cell r="O198">
            <v>384800</v>
          </cell>
          <cell r="Y198">
            <v>180000</v>
          </cell>
          <cell r="Z198">
            <v>0</v>
          </cell>
        </row>
        <row r="199">
          <cell r="N199" t="str">
            <v xml:space="preserve">Belanja Alat/Bahan Untuk Kegiatan Kantor-Suvenir/Cendera Mata </v>
          </cell>
          <cell r="O199">
            <v>415600</v>
          </cell>
          <cell r="Y199">
            <v>0</v>
          </cell>
          <cell r="Z199">
            <v>0</v>
          </cell>
        </row>
        <row r="200">
          <cell r="N200" t="str">
            <v xml:space="preserve">Belanja Persediaan Dalam Proses-Persediaan Dalam Proses Lainnya </v>
          </cell>
          <cell r="O200">
            <v>2400000</v>
          </cell>
          <cell r="Y200">
            <v>0</v>
          </cell>
          <cell r="Z200">
            <v>0</v>
          </cell>
        </row>
        <row r="201">
          <cell r="N201" t="str">
            <v xml:space="preserve">Belanja Makanan dan Minuman Rapat </v>
          </cell>
          <cell r="O201">
            <v>71583000</v>
          </cell>
          <cell r="Y201">
            <v>42903300</v>
          </cell>
          <cell r="Z201">
            <v>16067125</v>
          </cell>
        </row>
        <row r="202">
          <cell r="N202" t="str">
            <v xml:space="preserve">Belanja Makanan dan Minuman pada Fasilitas Pelayanan Urusan Kesehatan </v>
          </cell>
          <cell r="O202">
            <v>206520000</v>
          </cell>
          <cell r="Y202">
            <v>157338775</v>
          </cell>
          <cell r="Z202">
            <v>28645350</v>
          </cell>
        </row>
        <row r="203">
          <cell r="N203" t="str">
            <v>Belanja Makanan dan Minuman Aktivitas Lapangan</v>
          </cell>
          <cell r="O203">
            <v>5928000</v>
          </cell>
          <cell r="Y203">
            <v>3943750</v>
          </cell>
          <cell r="Z203">
            <v>0</v>
          </cell>
        </row>
        <row r="204">
          <cell r="N204" t="str">
            <v xml:space="preserve">Belanja Pakaian Batik Tradisional </v>
          </cell>
          <cell r="O204">
            <v>2250000</v>
          </cell>
        </row>
        <row r="207">
          <cell r="N207" t="str">
            <v>Honorarium Tim Pelaksana Kegiatan dan Sekretariat Tim Pelaksana Kegiatan</v>
          </cell>
          <cell r="O207">
            <v>880000</v>
          </cell>
        </row>
        <row r="208">
          <cell r="N208" t="str">
            <v xml:space="preserve">Honorarium Penyuluhan atau Pendampingan </v>
          </cell>
          <cell r="O208">
            <v>38700000</v>
          </cell>
          <cell r="Y208">
            <v>20700000</v>
          </cell>
          <cell r="Z208">
            <v>18000000</v>
          </cell>
        </row>
        <row r="209">
          <cell r="N209" t="str">
            <v xml:space="preserve">Belanja Jasa Tenaga Penanganan Sosial </v>
          </cell>
          <cell r="O209">
            <v>1420750000</v>
          </cell>
          <cell r="Y209">
            <v>1172750000</v>
          </cell>
          <cell r="Z209">
            <v>240750000</v>
          </cell>
        </row>
        <row r="210">
          <cell r="N210" t="str">
            <v>Belanja Jasa Juri Perlombaan/Pertandingan</v>
          </cell>
          <cell r="O210">
            <v>17250000</v>
          </cell>
          <cell r="Y210">
            <v>15000000</v>
          </cell>
          <cell r="Z210">
            <v>0</v>
          </cell>
        </row>
        <row r="211">
          <cell r="N211" t="str">
            <v>Belanja Sewa Kendaraan Bermotor Penumpang</v>
          </cell>
          <cell r="O211">
            <v>0</v>
          </cell>
          <cell r="Z211">
            <v>0</v>
          </cell>
        </row>
        <row r="212">
          <cell r="Y212">
            <v>31925000</v>
          </cell>
        </row>
        <row r="213">
          <cell r="Y213">
            <v>31925000</v>
          </cell>
        </row>
        <row r="214">
          <cell r="O214">
            <v>4810650</v>
          </cell>
          <cell r="Y214">
            <v>3375000</v>
          </cell>
          <cell r="Z214">
            <v>0</v>
          </cell>
        </row>
        <row r="215">
          <cell r="O215">
            <v>69100000</v>
          </cell>
          <cell r="Y215">
            <v>28550000</v>
          </cell>
          <cell r="Z215">
            <v>28550000</v>
          </cell>
        </row>
        <row r="218">
          <cell r="O218">
            <v>6100000</v>
          </cell>
          <cell r="Y218">
            <v>4550000</v>
          </cell>
          <cell r="Z218">
            <v>0</v>
          </cell>
        </row>
        <row r="228">
          <cell r="N228" t="str">
            <v xml:space="preserve">Belanja Alat/Bahan Untuk Kegiatan Kantor-Bahan Cetak </v>
          </cell>
          <cell r="O228">
            <v>4188850</v>
          </cell>
          <cell r="Y228">
            <v>3557200</v>
          </cell>
          <cell r="Z228">
            <v>0</v>
          </cell>
        </row>
        <row r="229">
          <cell r="N229" t="str">
            <v xml:space="preserve">Belanja Alat/Bahan Untuk Kegiatan Kantor-Souvernir/Cwndera Mata </v>
          </cell>
          <cell r="O229">
            <v>4450000</v>
          </cell>
          <cell r="Y229">
            <v>4450000</v>
          </cell>
          <cell r="Z229">
            <v>0</v>
          </cell>
        </row>
        <row r="230">
          <cell r="N230" t="str">
            <v>Belanja Makanan dan Minuman Rapat</v>
          </cell>
          <cell r="O230">
            <v>1506000</v>
          </cell>
          <cell r="Y230">
            <v>1273125</v>
          </cell>
          <cell r="Z230">
            <v>0</v>
          </cell>
        </row>
        <row r="231">
          <cell r="N231" t="str">
            <v xml:space="preserve">Belanja Makanan dan Minuman Aktivitas Lapangan </v>
          </cell>
          <cell r="O231">
            <v>32979000</v>
          </cell>
          <cell r="Y231">
            <v>31845825</v>
          </cell>
          <cell r="Z231">
            <v>0</v>
          </cell>
        </row>
        <row r="234">
          <cell r="N234" t="str">
            <v>Honorarium Narasumber atau Pembahas, Moderator, Pembawa Acara dan Panitia</v>
          </cell>
          <cell r="O234">
            <v>450000</v>
          </cell>
          <cell r="Y234">
            <v>450000</v>
          </cell>
          <cell r="Z234">
            <v>0</v>
          </cell>
        </row>
        <row r="235">
          <cell r="N235" t="str">
            <v xml:space="preserve">Honoraraium Tim Pelaksana Kegiatan dan Sekretariat Tim Pelaksanan Kegiatan </v>
          </cell>
          <cell r="O235">
            <v>880000</v>
          </cell>
          <cell r="Y235">
            <v>880000</v>
          </cell>
          <cell r="Z235">
            <v>0</v>
          </cell>
        </row>
        <row r="236">
          <cell r="N236" t="str">
            <v>Honorarium Penyuluh atau Pendamping</v>
          </cell>
          <cell r="O236">
            <v>50500000</v>
          </cell>
          <cell r="Y236">
            <v>50500000</v>
          </cell>
          <cell r="Z236">
            <v>0</v>
          </cell>
        </row>
        <row r="238">
          <cell r="N238" t="str">
            <v xml:space="preserve">Belanja Sewa Alat Kantor Lainnya </v>
          </cell>
          <cell r="O238">
            <v>400000</v>
          </cell>
          <cell r="Y238">
            <v>400000</v>
          </cell>
          <cell r="Z238">
            <v>0</v>
          </cell>
        </row>
        <row r="244">
          <cell r="N244" t="str">
            <v>Belanja Bahan Bakar dan Pelumas</v>
          </cell>
          <cell r="O244">
            <v>150</v>
          </cell>
        </row>
        <row r="245">
          <cell r="N245" t="str">
            <v xml:space="preserve">Belanja Bahan Baku </v>
          </cell>
          <cell r="O245">
            <v>54727000</v>
          </cell>
          <cell r="Y245">
            <v>48810250</v>
          </cell>
          <cell r="Z245">
            <v>0</v>
          </cell>
        </row>
        <row r="246">
          <cell r="O246">
            <v>26132500</v>
          </cell>
          <cell r="Y246">
            <v>25601750</v>
          </cell>
          <cell r="Z246">
            <v>352000</v>
          </cell>
        </row>
        <row r="247">
          <cell r="O247">
            <v>1245900</v>
          </cell>
          <cell r="Y247">
            <v>701500</v>
          </cell>
          <cell r="Z247">
            <v>110000</v>
          </cell>
        </row>
        <row r="248">
          <cell r="O248">
            <v>10991500</v>
          </cell>
          <cell r="Y248">
            <v>5263750</v>
          </cell>
          <cell r="Z248">
            <v>679500</v>
          </cell>
        </row>
        <row r="249">
          <cell r="O249">
            <v>1276600</v>
          </cell>
          <cell r="Y249">
            <v>1274800</v>
          </cell>
          <cell r="Z249">
            <v>0</v>
          </cell>
        </row>
        <row r="250">
          <cell r="O250">
            <v>0</v>
          </cell>
          <cell r="Y250">
            <v>0</v>
          </cell>
          <cell r="Z250">
            <v>0</v>
          </cell>
        </row>
        <row r="251">
          <cell r="O251">
            <v>6900000</v>
          </cell>
          <cell r="Y251">
            <v>3644500</v>
          </cell>
          <cell r="Z251">
            <v>0</v>
          </cell>
        </row>
        <row r="252">
          <cell r="O252">
            <v>47532000</v>
          </cell>
          <cell r="Y252">
            <v>20335550</v>
          </cell>
          <cell r="Z252">
            <v>10813350</v>
          </cell>
        </row>
        <row r="253">
          <cell r="O253">
            <v>59598000</v>
          </cell>
          <cell r="Y253">
            <v>54426150</v>
          </cell>
          <cell r="Z253">
            <v>0</v>
          </cell>
        </row>
        <row r="254">
          <cell r="O254">
            <v>9450000</v>
          </cell>
          <cell r="Y254">
            <v>0</v>
          </cell>
          <cell r="Z254">
            <v>9450000</v>
          </cell>
        </row>
        <row r="257">
          <cell r="O257">
            <v>101750000</v>
          </cell>
          <cell r="Y257">
            <v>100250000</v>
          </cell>
          <cell r="Z257">
            <v>0</v>
          </cell>
        </row>
        <row r="258">
          <cell r="N258" t="str">
            <v xml:space="preserve">Honoraraium Tim Pelaksana Kegiatan dan Sekretariat Tim Pelaksanan Kegiatan </v>
          </cell>
          <cell r="O258">
            <v>440000</v>
          </cell>
          <cell r="Z258">
            <v>0</v>
          </cell>
        </row>
        <row r="259">
          <cell r="O259">
            <v>96000000</v>
          </cell>
          <cell r="Y259">
            <v>74400000</v>
          </cell>
          <cell r="Z259">
            <v>16000000</v>
          </cell>
        </row>
        <row r="260">
          <cell r="O260">
            <v>14250000</v>
          </cell>
          <cell r="Y260">
            <v>14250000</v>
          </cell>
          <cell r="Z260">
            <v>0</v>
          </cell>
        </row>
        <row r="261">
          <cell r="N261" t="str">
            <v xml:space="preserve">Belanja Iuran Jaminan/Asuransi </v>
          </cell>
        </row>
        <row r="262">
          <cell r="N262" t="str">
            <v xml:space="preserve">Belanja Iuran Jaminan Kecelakaan Kerja Bagi Non PNS </v>
          </cell>
          <cell r="O262">
            <v>1380576</v>
          </cell>
          <cell r="Y262">
            <v>1159884</v>
          </cell>
          <cell r="Z262">
            <v>119988</v>
          </cell>
        </row>
        <row r="263">
          <cell r="N263" t="str">
            <v xml:space="preserve">Belanja Iuran Jaminan Kematian Bagi Non PNS </v>
          </cell>
          <cell r="O263">
            <v>1666800</v>
          </cell>
          <cell r="Y263">
            <v>1450116</v>
          </cell>
          <cell r="Z263">
            <v>150012</v>
          </cell>
        </row>
        <row r="264">
          <cell r="N264" t="str">
            <v xml:space="preserve">Belanja Sewa Peralatan dan Mesin </v>
          </cell>
        </row>
        <row r="265">
          <cell r="N265" t="str">
            <v xml:space="preserve">Belanja Sewa Kendaraan Bemotor Penumpang </v>
          </cell>
          <cell r="O265">
            <v>5400000</v>
          </cell>
          <cell r="Y265">
            <v>5400000</v>
          </cell>
          <cell r="Z265">
            <v>0</v>
          </cell>
        </row>
        <row r="266">
          <cell r="Y266">
            <v>60810000</v>
          </cell>
        </row>
        <row r="267">
          <cell r="Y267">
            <v>60810000</v>
          </cell>
        </row>
        <row r="268">
          <cell r="N268" t="str">
            <v>Belanja Perjalanan Dinas Biasa</v>
          </cell>
          <cell r="O268">
            <v>21380000</v>
          </cell>
          <cell r="Y268">
            <v>18860000</v>
          </cell>
          <cell r="Z268">
            <v>0</v>
          </cell>
        </row>
        <row r="269">
          <cell r="N269" t="str">
            <v>Belanja Perjalanan Dinas Dalam Kota</v>
          </cell>
          <cell r="O269">
            <v>58750000</v>
          </cell>
          <cell r="Y269">
            <v>41950000</v>
          </cell>
          <cell r="Z269">
            <v>3750000</v>
          </cell>
        </row>
        <row r="272">
          <cell r="N272" t="str">
            <v>Belanja Hadiah yang Bersifat Perlombaan</v>
          </cell>
          <cell r="O272">
            <v>3100000</v>
          </cell>
          <cell r="Y272">
            <v>3100000</v>
          </cell>
          <cell r="Z272">
            <v>0</v>
          </cell>
        </row>
        <row r="280">
          <cell r="N280" t="str">
            <v xml:space="preserve">Belanja Bahan Bakar dan Pelumas </v>
          </cell>
          <cell r="O280">
            <v>10000</v>
          </cell>
        </row>
        <row r="281">
          <cell r="N281" t="str">
            <v>Belanja Makanan dan Minuman Rapat</v>
          </cell>
          <cell r="O281">
            <v>10305000</v>
          </cell>
          <cell r="Y281">
            <v>8115850</v>
          </cell>
          <cell r="Z281">
            <v>1334300</v>
          </cell>
        </row>
        <row r="282">
          <cell r="N282" t="str">
            <v xml:space="preserve">Belnja Makanan dan Minuman Aktivitas Lapangan </v>
          </cell>
          <cell r="O282">
            <v>1599000</v>
          </cell>
        </row>
        <row r="283">
          <cell r="N283" t="str">
            <v xml:space="preserve">Belanja Pakaian Batik Tradisional </v>
          </cell>
          <cell r="O283">
            <v>37100000</v>
          </cell>
          <cell r="Y283">
            <v>36881250</v>
          </cell>
          <cell r="Z283">
            <v>0</v>
          </cell>
        </row>
        <row r="285">
          <cell r="N285" t="str">
            <v xml:space="preserve">Belanja Iuran Jaminan/Asuransi </v>
          </cell>
        </row>
        <row r="286">
          <cell r="N286" t="str">
            <v xml:space="preserve">Belanja Iuran Jaminan Kecelakaan Kerja Bagi Non PNS </v>
          </cell>
          <cell r="O286">
            <v>17118288</v>
          </cell>
          <cell r="Y286">
            <v>15429568</v>
          </cell>
          <cell r="Z286">
            <v>1413192</v>
          </cell>
        </row>
        <row r="287">
          <cell r="N287" t="str">
            <v xml:space="preserve">Belanja Iuran Jaminan Kematian Bagi Non PNS </v>
          </cell>
          <cell r="O287">
            <v>21401712</v>
          </cell>
          <cell r="Y287">
            <v>19530432</v>
          </cell>
          <cell r="Z287">
            <v>1766808</v>
          </cell>
        </row>
        <row r="288">
          <cell r="N288" t="str">
            <v xml:space="preserve">Belanja Sewa Peralatan dan Mesin </v>
          </cell>
        </row>
        <row r="289">
          <cell r="N289" t="str">
            <v xml:space="preserve">Belanja Sewa Kendaraan Bemotor Penumpang </v>
          </cell>
          <cell r="O289">
            <v>21600000</v>
          </cell>
          <cell r="Y289">
            <v>21600000</v>
          </cell>
          <cell r="Z289">
            <v>0</v>
          </cell>
        </row>
        <row r="290">
          <cell r="N290" t="str">
            <v xml:space="preserve">Belanja Uang yang Diberikan Kepada Pihak Ketiga/Pihak Lain/Masyarakat </v>
          </cell>
        </row>
        <row r="291">
          <cell r="N291" t="str">
            <v xml:space="preserve">Belanja Uang yang Diberikan kepada RT atau dengan Sebutan Lain </v>
          </cell>
          <cell r="O291">
            <v>2162400000</v>
          </cell>
          <cell r="Y291">
            <v>1800000000</v>
          </cell>
          <cell r="Z291">
            <v>360400000</v>
          </cell>
        </row>
        <row r="301">
          <cell r="O301">
            <v>400000</v>
          </cell>
          <cell r="Z301">
            <v>0</v>
          </cell>
        </row>
        <row r="302">
          <cell r="O302">
            <v>9521000</v>
          </cell>
          <cell r="Y302">
            <v>5955600</v>
          </cell>
          <cell r="Z302">
            <v>2135625</v>
          </cell>
        </row>
        <row r="305">
          <cell r="O305">
            <v>8550000</v>
          </cell>
          <cell r="Y305">
            <v>5400000</v>
          </cell>
          <cell r="Z305">
            <v>1400000</v>
          </cell>
        </row>
        <row r="315">
          <cell r="O315">
            <v>0</v>
          </cell>
          <cell r="Y315">
            <v>0</v>
          </cell>
          <cell r="Z315">
            <v>0</v>
          </cell>
        </row>
        <row r="316">
          <cell r="O316">
            <v>6000000</v>
          </cell>
          <cell r="Y316">
            <v>2720800</v>
          </cell>
          <cell r="Z316">
            <v>0</v>
          </cell>
        </row>
        <row r="317">
          <cell r="O317">
            <v>0</v>
          </cell>
          <cell r="Y317">
            <v>0</v>
          </cell>
          <cell r="Z317">
            <v>0</v>
          </cell>
        </row>
        <row r="323">
          <cell r="O323">
            <v>221700</v>
          </cell>
          <cell r="Y323">
            <v>200000</v>
          </cell>
          <cell r="Z323">
            <v>0</v>
          </cell>
        </row>
        <row r="324">
          <cell r="O324">
            <v>6018000</v>
          </cell>
          <cell r="Y324">
            <v>5680800</v>
          </cell>
          <cell r="Z324">
            <v>0</v>
          </cell>
        </row>
        <row r="327">
          <cell r="O327">
            <v>3200000</v>
          </cell>
          <cell r="Y327">
            <v>3200000</v>
          </cell>
          <cell r="Z327">
            <v>0</v>
          </cell>
        </row>
        <row r="330">
          <cell r="AB330">
            <v>16884584592.200001</v>
          </cell>
        </row>
        <row r="363">
          <cell r="AB363">
            <v>73588175</v>
          </cell>
        </row>
        <row r="365">
          <cell r="AB365">
            <v>0</v>
          </cell>
        </row>
        <row r="370">
          <cell r="AA370" t="str">
            <v>Padang Panjang, 31 Desember 2023</v>
          </cell>
        </row>
        <row r="376">
          <cell r="N376" t="str">
            <v>GUSRIAL, S. Sos</v>
          </cell>
        </row>
        <row r="377">
          <cell r="N377" t="str">
            <v>NIP. 196610051989031007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A BM"/>
      <sheetName val="LRA SP2D"/>
      <sheetName val="SPJ FUNGSIONAL "/>
    </sheetNames>
    <sheetDataSet>
      <sheetData sheetId="0"/>
      <sheetData sheetId="1">
        <row r="226">
          <cell r="U226">
            <v>0</v>
          </cell>
        </row>
      </sheetData>
      <sheetData sheetId="2">
        <row r="189">
          <cell r="X189">
            <v>400000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 KE LRA"/>
      <sheetName val="LRA RINCIAN-DES PERUBHN oke"/>
      <sheetName val="LRA SP2D DES-PERUBHN oke"/>
      <sheetName val="LAP SPJ ADMIN DES-PERUBH"/>
      <sheetName val="LAP SPJ ADMIN DES-PERUBH oke"/>
      <sheetName val="Gapok18"/>
      <sheetName val="T Kel18"/>
      <sheetName val="T Jab18"/>
      <sheetName val="T Umum18"/>
      <sheetName val="T Beras18"/>
      <sheetName val="T PPh18"/>
      <sheetName val="Pemb18"/>
      <sheetName val="Tunjada Beban Kerja"/>
      <sheetName val="Tunjada Kondisi Kerja"/>
      <sheetName val="Materai"/>
      <sheetName val="Telpon"/>
      <sheetName val="Air"/>
      <sheetName val="Listrik"/>
      <sheetName val="Internet"/>
      <sheetName val="Sopir Kontrak"/>
      <sheetName val="Servis Kend"/>
      <sheetName val="BBM"/>
      <sheetName val="Jasa KIR"/>
      <sheetName val="STNK"/>
      <sheetName val="Belanja Perpanjangan SIM"/>
      <sheetName val="Honor PA, KPA,Bend DLL"/>
      <sheetName val="Kebersihan"/>
      <sheetName val="Upah Pekerja"/>
      <sheetName val="Belanja PAkaian Kerja Lap"/>
      <sheetName val="ATK"/>
      <sheetName val="Cetak"/>
      <sheetName val="Penggandaan"/>
      <sheetName val="Alat Listrik"/>
      <sheetName val="MAMI rapat"/>
      <sheetName val="MAMI Open House"/>
      <sheetName val="PD Dalam"/>
      <sheetName val="PD Luar"/>
      <sheetName val="Gaji PH"/>
      <sheetName val="Premi Asuransi Kesehatan"/>
      <sheetName val="Premi Asuransi Tenaga Kerja"/>
      <sheetName val="Honor PPTK Pengadaan"/>
      <sheetName val="BM Peng Mesin Absensi"/>
      <sheetName val="BM Peng Komputer"/>
      <sheetName val="BM Peng Personal Komp"/>
      <sheetName val="BM Peng Peralatan Studio"/>
      <sheetName val="Pemel rmh dinas bahan"/>
      <sheetName val="Pemel rmh dinas upah"/>
      <sheetName val="Pemel gdg ktr bahan"/>
      <sheetName val="Pemel gdg ktr upah"/>
      <sheetName val="Blj Pemeliharaan Alat Ktr Camat"/>
      <sheetName val="Blj Pemeliharaan Alat Ktr Lurah"/>
      <sheetName val="Pensertifikatan Tanah PD"/>
      <sheetName val="Kontribusi"/>
      <sheetName val="Honor Panpel PNS Komp Lurah"/>
      <sheetName val="Honor Panpel Non PNS Komp Lurah"/>
      <sheetName val="ATK Komp Lurah"/>
      <sheetName val="Hadiah Komp Lurah "/>
      <sheetName val="Cetak Komp Lurah"/>
      <sheetName val="Penggandaan Komp Lurah"/>
      <sheetName val="Mami Komp Lurah"/>
      <sheetName val="Belanja Uang Komp Lurah"/>
      <sheetName val="Honor Narasumbr PNS Komp Lurah "/>
      <sheetName val="Honor Panpel Komp Seklur"/>
      <sheetName val="Honor NOn PNS Komp Seklur"/>
      <sheetName val="ATK Komp Seklur"/>
      <sheetName val="Hadiah Komp Seklur"/>
      <sheetName val="Cetak Komp Seklur"/>
      <sheetName val="Fotocopy Komp Seklur "/>
      <sheetName val="Mami Komp Seklur"/>
      <sheetName val="Uang Masy Komp Seklur"/>
      <sheetName val="Honor PNS Komp Seklur"/>
      <sheetName val="Honor Panpel Pel Publik"/>
      <sheetName val="Honor Panpel Pel Publik Non PNS"/>
      <sheetName val="ATK Pel Publik"/>
      <sheetName val="Hadiah Pel Publik"/>
      <sheetName val="Cetak Pel Publik"/>
      <sheetName val=" Penggandaan Pel Publik "/>
      <sheetName val=" Mami Pel Publik"/>
      <sheetName val=" Belanja Uang Pel Publik"/>
      <sheetName val=" Honor Narasumbe PNS Pel Publik"/>
      <sheetName val=" Narasumbe Non PNS Pel Publik "/>
      <sheetName val="Honor Panitia Optmal Pell PNS"/>
      <sheetName val="ATK Optmal Pel"/>
      <sheetName val="Cetak Optmal Pel"/>
      <sheetName val="Penggandaan Optmal Pel"/>
      <sheetName val="Mami Optmal Pel"/>
      <sheetName val="Perjadin Dlm Daerah Optmal Pel "/>
      <sheetName val="Honor Tenaga Ahli  PNS Opt Pel"/>
      <sheetName val="ATK Lap Cap Kinerja"/>
      <sheetName val="FC Lap Cap Kinerja"/>
      <sheetName val="ATK Lap Semester"/>
      <sheetName val="FC Lap Semester"/>
      <sheetName val="ATK Lap Prognsis"/>
      <sheetName val="FC LAp Prognsis"/>
      <sheetName val="ISO 9001 Honor Panpel PNS "/>
      <sheetName val="ISO 9001 Honor Panpel Non PNS "/>
      <sheetName val="ISO 9001 ATK"/>
      <sheetName val="ISO 9001 Cetak"/>
      <sheetName val="ISO 9001 Penggandaan"/>
      <sheetName val="ISO 9001 Konsultan"/>
      <sheetName val="Panpel PNS Keg UKS"/>
      <sheetName val="Panpel Non PNS UKS"/>
      <sheetName val="Belanja Hadiah UKS"/>
      <sheetName val="Belanja Bahan Baku Bangu UKS "/>
      <sheetName val="Belanja Mami UKS"/>
      <sheetName val="Belanja Uang UKS"/>
      <sheetName val="Honor Tenaga Ahli PNS UKS"/>
      <sheetName val="Honor Panpel PNS FKKS"/>
      <sheetName val="ATK  FKKS"/>
      <sheetName val="Cetak  FKKS "/>
      <sheetName val="Penggandaan FKKS"/>
      <sheetName val="Mami FKKS "/>
      <sheetName val="Transport FKKS"/>
      <sheetName val="Honor Panpel FKPM"/>
      <sheetName val="ATK FKPM"/>
      <sheetName val="Cetak  FKPM "/>
      <sheetName val="Penggandaan FKPM "/>
      <sheetName val="Mami FKPM "/>
      <sheetName val="Belanja Pakaian FKPM"/>
      <sheetName val="Transport Non PNS FKPM"/>
      <sheetName val="Honor Panpel Raskin"/>
      <sheetName val="Upah Pendistribusian Raskin"/>
      <sheetName val="Honor Tim Ramadhan"/>
      <sheetName val="Belanja Souveni Tim Ramadhan"/>
      <sheetName val="Belanja Mamii Tim Ramadha"/>
      <sheetName val="Belanja Sarung Tim Ramadha"/>
      <sheetName val="Panpel PNS Kel Berprestasi"/>
      <sheetName val="Panpel Non PNS Kel Berprestasi"/>
      <sheetName val="ATK Kel Berprest"/>
      <sheetName val="Hadiah Kel Berprest"/>
      <sheetName val="Cetak Kel Berprest "/>
      <sheetName val="Pengganda Kel Berprest"/>
      <sheetName val="Mami Kel Berprest"/>
      <sheetName val="Perjadin Kel Berprest"/>
      <sheetName val="Belanja Uang Kel Berprest"/>
      <sheetName val="Narasumber PNS Kel Berpres"/>
      <sheetName val="Narasumber Non PNS Kel Berpres "/>
      <sheetName val="Honor Panpel PNS Posyandu"/>
      <sheetName val="Honor Panpel Non PNS Posyandu"/>
      <sheetName val="Belanja Hadiah Posyandu"/>
      <sheetName val="Belanja Cetak Posyandu"/>
      <sheetName val="Belanja Mami Posyandu"/>
      <sheetName val="Belanja Perjadin Posyandu"/>
      <sheetName val="Belanja Uang Posyandu"/>
      <sheetName val="Honor PNS Tng Ahli Posyandu"/>
      <sheetName val="Honor NonPNS Tng Ahli Posyandu"/>
      <sheetName val="Honor Panpel PNS Dasawisma"/>
      <sheetName val="Honor Panpel Non PNS Dasawisma"/>
      <sheetName val="Hadiah Dasawisma"/>
      <sheetName val="Cetak Dasawisma"/>
      <sheetName val="Mami Dasawisma"/>
      <sheetName val="Perjadin Dasawisma"/>
      <sheetName val="Belanja Uang Dasawisma"/>
      <sheetName val="Narasumber PNS Dasawisma"/>
      <sheetName val="Narasumber Non PNS Dasawisma"/>
      <sheetName val="Honor Panpel PNS HKG PKK "/>
      <sheetName val="Honor Panpel Non PNS HKG PKK"/>
      <sheetName val="Belanja Hadiah HKG PKK"/>
      <sheetName val="Belanja Cetak HKG PKK"/>
      <sheetName val="Belanja Mami HKG PKK"/>
      <sheetName val="Belanja UAng HKG PKK"/>
      <sheetName val="Honor Tng AHli PNS HKG PKK"/>
      <sheetName val="Honor Tng AHli Non PNS HKG PKK"/>
      <sheetName val="Honor Panpel RT"/>
      <sheetName val="Honor RT"/>
      <sheetName val="Honor Panpel LPM"/>
      <sheetName val="ATK LPM"/>
      <sheetName val="Operasional LPM "/>
      <sheetName val="Cetak  LPM "/>
      <sheetName val="Penggandaan LPM"/>
      <sheetName val="Mami LPM"/>
      <sheetName val="Transport LPM"/>
      <sheetName val="Honor Panpel PNS BBGRM"/>
      <sheetName val="Honor Panpel Non PNS BBGRM"/>
      <sheetName val="Belanja Hadiah BBGRM"/>
      <sheetName val="Belanja Cetak BBGRM"/>
      <sheetName val="Belanja Penggandaan BBGRM"/>
      <sheetName val="Belanja Mami Rapat BBGRM"/>
      <sheetName val="Belanja Uang BBGRM"/>
      <sheetName val="Honor Tng Ahli PNS BBGRM"/>
      <sheetName val="Honor Tng Ahli Non PNS BBGRM"/>
      <sheetName val="Honor Panpel PKK"/>
      <sheetName val="ATK PKK"/>
      <sheetName val="Bahan Baku Bangunan PKK"/>
      <sheetName val="Bahan Bibit Tanaman PKK"/>
      <sheetName val="Bahan Pangan PKK"/>
      <sheetName val="Cetak PKK"/>
      <sheetName val="Penggandaan PKK"/>
      <sheetName val="Mami PKK"/>
      <sheetName val="Pakaian Khusus PKK"/>
      <sheetName val="SPPD Dalam PKK"/>
      <sheetName val="SPPD Luar PKK"/>
      <sheetName val="Transport Non PNS PKK"/>
      <sheetName val="Honor Panpel PNS Non Fisik P3MK"/>
      <sheetName val="ATK Non Fisik P3MK"/>
      <sheetName val="Hadiah Nonn Fisik P3MK"/>
      <sheetName val="Cetak Nonn Fisik P3MK "/>
      <sheetName val="Penggandaa Nonn Fisik P3MK"/>
      <sheetName val="Sewa Tenda Non Fisik P3MK"/>
      <sheetName val="Sewa Alat Musik Non Fisik P3MK"/>
      <sheetName val="Mami Non Fisik P3MK"/>
      <sheetName val="Blj Uang Non Fisik P3MK"/>
      <sheetName val="Tng Ahli PNS"/>
      <sheetName val="Tng Ahli Non PNS Non Fisik P3MK"/>
      <sheetName val="Transpor Non PNS Non Fisik P3MK"/>
      <sheetName val="Panpel PNS Fisik P3MK"/>
      <sheetName val="ATK Fisik P3MK"/>
      <sheetName val="Alat Kebr&amp;Bhn Pemb Fisik P3MK "/>
      <sheetName val="Bahan Bangunan Fisik P3MK"/>
      <sheetName val="Blj Jasa Non Peg Fisik P3MK"/>
      <sheetName val="Cetak Fisik P3MK"/>
      <sheetName val="Penggandaan Fisik P3MK"/>
      <sheetName val="Mami Fisik P3MK"/>
      <sheetName val="BM ALAT PEMBERSIH"/>
      <sheetName val="Panpel PNS OSI Pel Pub"/>
      <sheetName val="Belanja INternet OSI Pel Pub"/>
      <sheetName val="Pan Pel PNS Musren KEc"/>
      <sheetName val="Pan Pel Non PNS Musren KEc"/>
      <sheetName val="ATK Musren KEc"/>
      <sheetName val="Cetak Musren KEc"/>
      <sheetName val="Penggandaan Musren KEc"/>
      <sheetName val="Mami Rapat Musren KEc"/>
      <sheetName val="Tng Ahli Non PNS Musren KEc "/>
      <sheetName val="Panpel PNS Musren Kel"/>
      <sheetName val="Cetak Musren Kel"/>
      <sheetName val="Penggandaan Musren Kel"/>
      <sheetName val="Mami Musren Kel"/>
      <sheetName val="Tng AHli PNS Musren Kel "/>
      <sheetName val="Tng AHli Non PNS Musren Kel"/>
      <sheetName val="Panpel PNS PBB"/>
      <sheetName val="Panpel Non PNS PBB"/>
      <sheetName val="ATK PBB"/>
      <sheetName val="Penggandaan PBB"/>
      <sheetName val="Mami PBB"/>
      <sheetName val="PAnpel PNS P3FU"/>
      <sheetName val="Upah Peg Harian P3FU"/>
      <sheetName val="Panpel PNS FOrum DIskusi"/>
      <sheetName val="Mami FOrum DIskusi "/>
      <sheetName val="Panpel PNS Monitoring PErda"/>
      <sheetName val="Panpel Non PNS Monitoring PErda"/>
      <sheetName val="MAmi Monitoring Perda"/>
      <sheetName val="Panpel PNS HUTRI"/>
      <sheetName val="Panpel Non PNS HUTRI"/>
      <sheetName val="ATK HUTRI"/>
      <sheetName val="Hadiah HUTRI"/>
      <sheetName val="Cetak HUTRI"/>
      <sheetName val="Penggandaan HUTRI"/>
      <sheetName val="Sewa Alat Musik  HUTRI"/>
      <sheetName val="Mami Rapat HUTRI"/>
      <sheetName val="Blj Uang HUTRI"/>
      <sheetName val="Tng AHli PNS HUTRI"/>
      <sheetName val="Transport Non PNS HUTRI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>
        <row r="16">
          <cell r="Q16">
            <v>9572250000</v>
          </cell>
        </row>
        <row r="34">
          <cell r="Q34">
            <v>8670000</v>
          </cell>
          <cell r="AA34">
            <v>7461000</v>
          </cell>
        </row>
        <row r="39">
          <cell r="Q39">
            <v>126980000</v>
          </cell>
          <cell r="AA39">
            <v>62925766</v>
          </cell>
        </row>
        <row r="46">
          <cell r="Q46">
            <v>311871000</v>
          </cell>
          <cell r="AA46">
            <v>226271938</v>
          </cell>
        </row>
        <row r="57">
          <cell r="Q57">
            <v>649781000</v>
          </cell>
          <cell r="AA57">
            <v>603050704</v>
          </cell>
        </row>
        <row r="64">
          <cell r="Q64">
            <v>86720000</v>
          </cell>
          <cell r="AA64">
            <v>85077755</v>
          </cell>
        </row>
        <row r="69">
          <cell r="Q69">
            <v>51139800</v>
          </cell>
          <cell r="AA69">
            <v>40087000</v>
          </cell>
        </row>
        <row r="75">
          <cell r="Q75">
            <v>35750000</v>
          </cell>
          <cell r="AA75">
            <v>31507500</v>
          </cell>
        </row>
        <row r="80">
          <cell r="Q80">
            <v>252831500</v>
          </cell>
          <cell r="AA80">
            <v>235770750</v>
          </cell>
        </row>
        <row r="89">
          <cell r="Q89">
            <v>368120000</v>
          </cell>
          <cell r="AA89">
            <v>338023896</v>
          </cell>
        </row>
        <row r="97">
          <cell r="Q97">
            <v>305000000</v>
          </cell>
          <cell r="AA97">
            <v>301840287</v>
          </cell>
        </row>
        <row r="105">
          <cell r="Q105">
            <v>89993000</v>
          </cell>
          <cell r="AA105">
            <v>89493000</v>
          </cell>
        </row>
        <row r="115">
          <cell r="Q115">
            <v>106000000</v>
          </cell>
          <cell r="AA115">
            <v>100493750</v>
          </cell>
        </row>
        <row r="122">
          <cell r="Q122">
            <v>32500000</v>
          </cell>
          <cell r="AA122">
            <v>18001800</v>
          </cell>
        </row>
        <row r="127">
          <cell r="P127" t="str">
            <v>Pemeliharaan Rutin / Berkala Rumah Dinas</v>
          </cell>
          <cell r="Q127">
            <v>15000000</v>
          </cell>
          <cell r="AA127">
            <v>14962750</v>
          </cell>
        </row>
        <row r="134">
          <cell r="P134" t="str">
            <v>Pemeliharaan Rutin / Berkala Peralatan Kantor</v>
          </cell>
          <cell r="Q134">
            <v>35000000</v>
          </cell>
          <cell r="AA134">
            <v>32708600</v>
          </cell>
        </row>
        <row r="139">
          <cell r="P139" t="str">
            <v>Rehabilitasi Sedang Berat Gedung Kantor</v>
          </cell>
          <cell r="Q139">
            <v>153500000</v>
          </cell>
          <cell r="AA139">
            <v>141775100</v>
          </cell>
        </row>
        <row r="166">
          <cell r="P166" t="str">
            <v>PROGRAM PENINGKATAN KAPASITAS SUMBERDAYA APARATUR</v>
          </cell>
          <cell r="Q166">
            <v>95000000</v>
          </cell>
        </row>
        <row r="168">
          <cell r="P168" t="str">
            <v>Bimbingan Teknis Implementasi Peraturan Perundang-Undangan</v>
          </cell>
          <cell r="AA168">
            <v>94200000</v>
          </cell>
        </row>
        <row r="173">
          <cell r="P173" t="str">
            <v>PROGRAM PENINGKATAN PENGEMBANGAN SISTEM  PERENCANAAN DAN PELAPORAN CAPAIAN KINERJA DAN KEUANGAN</v>
          </cell>
        </row>
        <row r="175">
          <cell r="P175" t="str">
            <v>Penyusunan Perencanaan dan Pelaporan Kinerja Perangkat Daerah</v>
          </cell>
          <cell r="Q175">
            <v>500000</v>
          </cell>
          <cell r="AA175">
            <v>500000</v>
          </cell>
        </row>
        <row r="182">
          <cell r="P182" t="str">
            <v>Penyusunan Laporan Kinerja Keuangan Perangkat Daerah</v>
          </cell>
          <cell r="Q182">
            <v>1250000</v>
          </cell>
          <cell r="AA182">
            <v>1250000</v>
          </cell>
        </row>
        <row r="191">
          <cell r="Q191">
            <v>34160000</v>
          </cell>
        </row>
        <row r="207">
          <cell r="Q207">
            <v>120668500</v>
          </cell>
        </row>
        <row r="222">
          <cell r="Q222">
            <v>68070500</v>
          </cell>
        </row>
        <row r="245">
          <cell r="Q245">
            <v>54932000</v>
          </cell>
        </row>
        <row r="262">
          <cell r="Q262">
            <v>10100000</v>
          </cell>
        </row>
        <row r="273">
          <cell r="Q273">
            <v>19655000</v>
          </cell>
        </row>
        <row r="287">
          <cell r="Q287">
            <v>20720000</v>
          </cell>
        </row>
        <row r="300">
          <cell r="Q300">
            <v>8757000</v>
          </cell>
        </row>
        <row r="315">
          <cell r="Q315">
            <v>16195000</v>
          </cell>
        </row>
        <row r="333">
          <cell r="Q333">
            <v>29250000</v>
          </cell>
        </row>
        <row r="351">
          <cell r="Q351">
            <v>2259600000</v>
          </cell>
        </row>
        <row r="358">
          <cell r="Q358">
            <v>150273000</v>
          </cell>
        </row>
        <row r="376">
          <cell r="Q376">
            <v>633570000</v>
          </cell>
        </row>
        <row r="404">
          <cell r="Q404">
            <v>12545000</v>
          </cell>
        </row>
        <row r="416">
          <cell r="Q416">
            <v>88657000</v>
          </cell>
        </row>
        <row r="440">
          <cell r="Q440">
            <v>55600000</v>
          </cell>
        </row>
        <row r="452">
          <cell r="Q452">
            <v>18286000</v>
          </cell>
        </row>
        <row r="467">
          <cell r="Q467">
            <v>29427000</v>
          </cell>
        </row>
        <row r="486">
          <cell r="Q486">
            <v>89413000</v>
          </cell>
        </row>
        <row r="503">
          <cell r="Q503">
            <v>6696000</v>
          </cell>
        </row>
        <row r="523">
          <cell r="Q523">
            <v>1428654500</v>
          </cell>
        </row>
        <row r="544">
          <cell r="Q544">
            <v>1394873500</v>
          </cell>
        </row>
        <row r="577">
          <cell r="Q577">
            <v>1084634500</v>
          </cell>
        </row>
        <row r="610">
          <cell r="Q610">
            <v>359221000</v>
          </cell>
        </row>
        <row r="633">
          <cell r="Q633">
            <v>1683680000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A BM DESEMBER"/>
      <sheetName val="LRA SP2D DESEMBER "/>
      <sheetName val="LAP SPJ ADMINISTRATIF DESEMBER"/>
      <sheetName val="Sheet1"/>
    </sheetNames>
    <sheetDataSet>
      <sheetData sheetId="0"/>
      <sheetData sheetId="1">
        <row r="17">
          <cell r="N17">
            <v>553825590</v>
          </cell>
        </row>
      </sheetData>
      <sheetData sheetId="2">
        <row r="26">
          <cell r="E26">
            <v>8950000000</v>
          </cell>
          <cell r="O26">
            <v>8733935143</v>
          </cell>
        </row>
        <row r="44">
          <cell r="E44">
            <v>230520000</v>
          </cell>
          <cell r="O44">
            <v>194313740</v>
          </cell>
        </row>
        <row r="55">
          <cell r="E55">
            <v>619340000</v>
          </cell>
          <cell r="O55">
            <v>547678044</v>
          </cell>
        </row>
        <row r="66">
          <cell r="E66">
            <v>92709000</v>
          </cell>
        </row>
        <row r="71">
          <cell r="O71">
            <v>81311150</v>
          </cell>
        </row>
        <row r="76">
          <cell r="E76">
            <v>90000000</v>
          </cell>
          <cell r="O76">
            <v>87467046</v>
          </cell>
        </row>
        <row r="82">
          <cell r="E82">
            <v>399240000</v>
          </cell>
          <cell r="O82">
            <v>370608872</v>
          </cell>
        </row>
        <row r="93">
          <cell r="E93">
            <v>57850000</v>
          </cell>
          <cell r="O93">
            <v>57100800</v>
          </cell>
        </row>
        <row r="94">
          <cell r="E94">
            <v>7740000</v>
          </cell>
          <cell r="O94">
            <v>7152000</v>
          </cell>
        </row>
        <row r="95">
          <cell r="E95">
            <v>39950000</v>
          </cell>
          <cell r="O95">
            <v>30605900</v>
          </cell>
        </row>
        <row r="102">
          <cell r="E102">
            <v>24120000</v>
          </cell>
          <cell r="O102">
            <v>23400500</v>
          </cell>
        </row>
        <row r="103">
          <cell r="E103">
            <v>175499400</v>
          </cell>
          <cell r="O103">
            <v>77385661</v>
          </cell>
        </row>
        <row r="110">
          <cell r="D110" t="str">
            <v>Pengadaan Kendaraan Dinas/Operasional</v>
          </cell>
          <cell r="E110">
            <v>199950000</v>
          </cell>
          <cell r="O110">
            <v>189150000</v>
          </cell>
        </row>
        <row r="127">
          <cell r="E127">
            <v>1000000</v>
          </cell>
        </row>
        <row r="128">
          <cell r="O128">
            <v>102299600</v>
          </cell>
        </row>
        <row r="129">
          <cell r="E129">
            <v>106500000</v>
          </cell>
        </row>
        <row r="130">
          <cell r="O130">
            <v>35870000</v>
          </cell>
        </row>
        <row r="131">
          <cell r="E131">
            <v>38750000</v>
          </cell>
        </row>
        <row r="133">
          <cell r="E133">
            <v>114750000</v>
          </cell>
          <cell r="O133">
            <v>94150800</v>
          </cell>
        </row>
        <row r="137">
          <cell r="E137">
            <v>500000</v>
          </cell>
        </row>
        <row r="153">
          <cell r="E153">
            <v>39953000</v>
          </cell>
        </row>
        <row r="167">
          <cell r="E167">
            <v>33635000</v>
          </cell>
        </row>
        <row r="200">
          <cell r="E200">
            <v>41520000</v>
          </cell>
        </row>
        <row r="218">
          <cell r="E218">
            <v>12000000</v>
          </cell>
        </row>
        <row r="227">
          <cell r="E227">
            <v>1692944000</v>
          </cell>
        </row>
        <row r="243">
          <cell r="E243">
            <v>0</v>
          </cell>
        </row>
        <row r="260">
          <cell r="E260">
            <v>731480000</v>
          </cell>
        </row>
        <row r="278">
          <cell r="E278">
            <v>963240000</v>
          </cell>
        </row>
        <row r="298">
          <cell r="E298">
            <v>28210000</v>
          </cell>
        </row>
        <row r="318">
          <cell r="E318">
            <v>2136316000</v>
          </cell>
        </row>
        <row r="330">
          <cell r="E330">
            <v>137349000</v>
          </cell>
        </row>
        <row r="344">
          <cell r="E344">
            <v>32100000</v>
          </cell>
        </row>
        <row r="369">
          <cell r="E369">
            <v>442003000</v>
          </cell>
        </row>
        <row r="400">
          <cell r="E400">
            <v>45830000</v>
          </cell>
        </row>
        <row r="415">
          <cell r="E415">
            <v>14800000</v>
          </cell>
        </row>
        <row r="430">
          <cell r="E430">
            <v>197100950</v>
          </cell>
        </row>
        <row r="453">
          <cell r="E453">
            <v>1664389000</v>
          </cell>
        </row>
        <row r="500">
          <cell r="E500">
            <v>1920897300</v>
          </cell>
        </row>
        <row r="541">
          <cell r="E541">
            <v>217112000</v>
          </cell>
        </row>
        <row r="571">
          <cell r="E571">
            <v>102007000</v>
          </cell>
        </row>
      </sheetData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A BM"/>
      <sheetName val="LRA SP2D"/>
      <sheetName val="SPJ FUNGSIONAL "/>
    </sheetNames>
    <sheetDataSet>
      <sheetData sheetId="0" refreshError="1"/>
      <sheetData sheetId="1" refreshError="1"/>
      <sheetData sheetId="2" refreshError="1">
        <row r="23">
          <cell r="Y23">
            <v>11031729441</v>
          </cell>
        </row>
        <row r="27">
          <cell r="O27">
            <v>9409039963</v>
          </cell>
          <cell r="Y27">
            <v>9124560918</v>
          </cell>
        </row>
        <row r="46">
          <cell r="O46">
            <v>35306700</v>
          </cell>
          <cell r="Y46">
            <v>33625900</v>
          </cell>
        </row>
        <row r="52">
          <cell r="O52">
            <v>180160750</v>
          </cell>
          <cell r="Y52">
            <v>159679700</v>
          </cell>
        </row>
        <row r="67">
          <cell r="O67">
            <v>57513800</v>
          </cell>
          <cell r="Y67">
            <v>46021750</v>
          </cell>
        </row>
        <row r="77">
          <cell r="O77">
            <v>78900000</v>
          </cell>
          <cell r="Y77">
            <v>73531000</v>
          </cell>
        </row>
        <row r="79">
          <cell r="O79">
            <v>166534650</v>
          </cell>
          <cell r="Y79">
            <v>153054467</v>
          </cell>
        </row>
        <row r="85">
          <cell r="O85">
            <v>6560000</v>
          </cell>
          <cell r="Y85">
            <v>4837000</v>
          </cell>
        </row>
        <row r="91">
          <cell r="O91">
            <v>89577349</v>
          </cell>
          <cell r="Y91">
            <v>57977278</v>
          </cell>
        </row>
        <row r="99">
          <cell r="O99">
            <v>1024716800</v>
          </cell>
          <cell r="Y99">
            <v>975205697</v>
          </cell>
        </row>
        <row r="112">
          <cell r="O112">
            <v>100369000</v>
          </cell>
          <cell r="Y112">
            <v>74786900</v>
          </cell>
        </row>
        <row r="124">
          <cell r="O124">
            <v>84244500</v>
          </cell>
          <cell r="Y124">
            <v>76049876</v>
          </cell>
        </row>
        <row r="137">
          <cell r="O137">
            <v>209288000</v>
          </cell>
          <cell r="Y137">
            <v>169329300</v>
          </cell>
        </row>
        <row r="162">
          <cell r="O162">
            <v>102896000</v>
          </cell>
          <cell r="Y162">
            <v>83069655</v>
          </cell>
        </row>
        <row r="168">
          <cell r="Y168">
            <v>2508580560</v>
          </cell>
        </row>
        <row r="172">
          <cell r="O172">
            <v>213409350</v>
          </cell>
          <cell r="Y172">
            <v>207675800</v>
          </cell>
        </row>
        <row r="192">
          <cell r="O192">
            <v>1493619900</v>
          </cell>
          <cell r="Y192">
            <v>1460305360</v>
          </cell>
        </row>
        <row r="213">
          <cell r="O213">
            <v>933646500</v>
          </cell>
          <cell r="Y213">
            <v>840599400</v>
          </cell>
        </row>
        <row r="239">
          <cell r="Y239">
            <v>3764708125</v>
          </cell>
        </row>
        <row r="243">
          <cell r="O243">
            <v>83162450</v>
          </cell>
          <cell r="Y243">
            <v>72945600</v>
          </cell>
        </row>
        <row r="261">
          <cell r="O261">
            <v>38937400</v>
          </cell>
          <cell r="Y261">
            <v>35275400</v>
          </cell>
        </row>
        <row r="277">
          <cell r="O277">
            <v>28233850</v>
          </cell>
          <cell r="Y277">
            <v>28135000</v>
          </cell>
        </row>
        <row r="289">
          <cell r="O289">
            <v>1496216650</v>
          </cell>
        </row>
        <row r="333">
          <cell r="O333">
            <v>2279364500</v>
          </cell>
          <cell r="Y333">
            <v>2254052025</v>
          </cell>
        </row>
        <row r="355">
          <cell r="O355">
            <v>414868400</v>
          </cell>
          <cell r="Y355">
            <v>155794300</v>
          </cell>
        </row>
        <row r="373">
          <cell r="O373">
            <v>33042500</v>
          </cell>
          <cell r="Y373">
            <v>23245000</v>
          </cell>
        </row>
        <row r="382">
          <cell r="O382">
            <v>9200000</v>
          </cell>
          <cell r="Y382">
            <v>8866450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A BM"/>
      <sheetName val="LRA SP2D"/>
      <sheetName val="SPJ FUNGSIONAL "/>
    </sheetNames>
    <sheetDataSet>
      <sheetData sheetId="0"/>
      <sheetData sheetId="1"/>
      <sheetData sheetId="2">
        <row r="180">
          <cell r="O180">
            <v>2272253750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A BM"/>
      <sheetName val="LRA SP2D"/>
      <sheetName val="SPJ FUNGSIONAL "/>
    </sheetNames>
    <sheetDataSet>
      <sheetData sheetId="0"/>
      <sheetData sheetId="1">
        <row r="24">
          <cell r="R24">
            <v>3334856563</v>
          </cell>
        </row>
        <row r="25">
          <cell r="R25">
            <v>309827438</v>
          </cell>
        </row>
        <row r="26">
          <cell r="R26">
            <v>313480000</v>
          </cell>
        </row>
        <row r="27">
          <cell r="R27">
            <v>58880000</v>
          </cell>
        </row>
        <row r="28">
          <cell r="R28">
            <v>188654100</v>
          </cell>
        </row>
        <row r="29">
          <cell r="R29">
            <v>1370276</v>
          </cell>
        </row>
        <row r="30">
          <cell r="R30">
            <v>41761</v>
          </cell>
        </row>
        <row r="31">
          <cell r="R31">
            <v>262075541</v>
          </cell>
        </row>
        <row r="32">
          <cell r="R32">
            <v>6749441</v>
          </cell>
        </row>
        <row r="33">
          <cell r="R33">
            <v>20248282</v>
          </cell>
        </row>
        <row r="36">
          <cell r="R36">
            <v>3508959445</v>
          </cell>
        </row>
        <row r="50">
          <cell r="R50">
            <v>7663840</v>
          </cell>
        </row>
        <row r="51">
          <cell r="R51">
            <v>36863200</v>
          </cell>
        </row>
        <row r="52">
          <cell r="R52">
            <v>525750</v>
          </cell>
        </row>
        <row r="53">
          <cell r="R53">
            <v>24836600</v>
          </cell>
        </row>
        <row r="54">
          <cell r="R54">
            <v>9931900</v>
          </cell>
        </row>
        <row r="55">
          <cell r="R55">
            <v>17976095</v>
          </cell>
        </row>
        <row r="59">
          <cell r="R59">
            <v>4400000</v>
          </cell>
        </row>
        <row r="65">
          <cell r="R65">
            <v>13683800</v>
          </cell>
        </row>
        <row r="71">
          <cell r="R71">
            <v>46894650</v>
          </cell>
        </row>
        <row r="74">
          <cell r="R74">
            <v>95301988</v>
          </cell>
        </row>
        <row r="102">
          <cell r="R102">
            <v>2341988</v>
          </cell>
        </row>
        <row r="103">
          <cell r="R103">
            <v>17072800</v>
          </cell>
        </row>
        <row r="104">
          <cell r="R104">
            <v>27907295</v>
          </cell>
        </row>
        <row r="109">
          <cell r="R109">
            <v>321700000</v>
          </cell>
        </row>
        <row r="110">
          <cell r="R110">
            <v>182160000</v>
          </cell>
        </row>
        <row r="111">
          <cell r="R111">
            <v>256060000</v>
          </cell>
        </row>
        <row r="112">
          <cell r="R112">
            <v>37320000</v>
          </cell>
        </row>
        <row r="114">
          <cell r="R114">
            <v>2439360</v>
          </cell>
        </row>
        <row r="115">
          <cell r="R115">
            <v>3033800</v>
          </cell>
        </row>
        <row r="123">
          <cell r="R123">
            <v>80511025</v>
          </cell>
        </row>
        <row r="124">
          <cell r="R124">
            <v>250000</v>
          </cell>
        </row>
        <row r="127">
          <cell r="R127">
            <v>4406600</v>
          </cell>
        </row>
        <row r="130">
          <cell r="R130">
            <v>16907500</v>
          </cell>
        </row>
        <row r="131">
          <cell r="R131">
            <v>15726000</v>
          </cell>
        </row>
        <row r="137">
          <cell r="R137">
            <v>16110000</v>
          </cell>
        </row>
        <row r="138">
          <cell r="R138">
            <v>9890000</v>
          </cell>
        </row>
        <row r="139">
          <cell r="R139">
            <v>2390000</v>
          </cell>
        </row>
        <row r="146">
          <cell r="R146">
            <v>66621270</v>
          </cell>
        </row>
        <row r="165">
          <cell r="R165">
            <v>88902000</v>
          </cell>
        </row>
        <row r="166">
          <cell r="R166">
            <v>7296400</v>
          </cell>
        </row>
        <row r="167">
          <cell r="R167">
            <v>5944100</v>
          </cell>
        </row>
        <row r="170">
          <cell r="R170">
            <v>1238800000</v>
          </cell>
        </row>
        <row r="171">
          <cell r="R171">
            <v>785000</v>
          </cell>
        </row>
        <row r="173">
          <cell r="R173">
            <v>3041280</v>
          </cell>
        </row>
        <row r="174">
          <cell r="R174">
            <v>3801600</v>
          </cell>
        </row>
        <row r="177">
          <cell r="R177">
            <v>22588000</v>
          </cell>
        </row>
        <row r="180">
          <cell r="Q180">
            <v>24000000</v>
          </cell>
        </row>
        <row r="190">
          <cell r="R190">
            <v>8215400</v>
          </cell>
        </row>
        <row r="194">
          <cell r="R194">
            <v>38088000</v>
          </cell>
        </row>
        <row r="195">
          <cell r="R195">
            <v>157338775</v>
          </cell>
        </row>
        <row r="196">
          <cell r="R196">
            <v>3943750</v>
          </cell>
        </row>
        <row r="201">
          <cell r="R201">
            <v>18000000</v>
          </cell>
        </row>
        <row r="202">
          <cell r="R202">
            <v>1169500000</v>
          </cell>
        </row>
        <row r="203">
          <cell r="R203">
            <v>15000000</v>
          </cell>
        </row>
        <row r="207">
          <cell r="R207">
            <v>3375000</v>
          </cell>
        </row>
        <row r="208">
          <cell r="R208">
            <v>19200000</v>
          </cell>
        </row>
        <row r="211">
          <cell r="R211">
            <v>4550000</v>
          </cell>
        </row>
        <row r="224">
          <cell r="R224">
            <v>31898325</v>
          </cell>
        </row>
        <row r="245">
          <cell r="R245">
            <v>19674050</v>
          </cell>
        </row>
        <row r="252">
          <cell r="R252">
            <v>74400000</v>
          </cell>
        </row>
        <row r="255">
          <cell r="R255">
            <v>1159884</v>
          </cell>
        </row>
        <row r="256">
          <cell r="R256">
            <v>1450116</v>
          </cell>
        </row>
        <row r="262">
          <cell r="R262">
            <v>41550000</v>
          </cell>
        </row>
        <row r="274">
          <cell r="R274">
            <v>8115850</v>
          </cell>
        </row>
        <row r="279">
          <cell r="R279">
            <v>15429568</v>
          </cell>
        </row>
        <row r="280">
          <cell r="R280">
            <v>19530432</v>
          </cell>
        </row>
        <row r="284">
          <cell r="R284">
            <v>1800000000</v>
          </cell>
        </row>
        <row r="295">
          <cell r="R295">
            <v>5729200</v>
          </cell>
        </row>
        <row r="298">
          <cell r="R298">
            <v>4300000</v>
          </cell>
        </row>
        <row r="317">
          <cell r="R317">
            <v>5680800</v>
          </cell>
        </row>
        <row r="320">
          <cell r="R320">
            <v>3200000</v>
          </cell>
        </row>
      </sheetData>
      <sheetData sheetId="2">
        <row r="30">
          <cell r="R30">
            <v>3334856563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A BM"/>
      <sheetName val="LRA SP2D"/>
      <sheetName val="SPJ FUNGSIONAL "/>
    </sheetNames>
    <sheetDataSet>
      <sheetData sheetId="0"/>
      <sheetData sheetId="1">
        <row r="39">
          <cell r="R39">
            <v>720000000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A BM"/>
      <sheetName val="LRA SP2D"/>
      <sheetName val="SPJ FUNGSIONAL "/>
    </sheetNames>
    <sheetDataSet>
      <sheetData sheetId="0"/>
      <sheetData sheetId="1">
        <row r="134">
          <cell r="R134">
            <v>175794872.19999999</v>
          </cell>
        </row>
      </sheetData>
      <sheetData sheetId="2">
        <row r="136">
          <cell r="X136">
            <v>26869770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A BM"/>
      <sheetName val="LRA SP2D"/>
      <sheetName val="SPJ FUNGSIONAL "/>
    </sheetNames>
    <sheetDataSet>
      <sheetData sheetId="0"/>
      <sheetData sheetId="1">
        <row r="197">
          <cell r="R197">
            <v>3557200</v>
          </cell>
        </row>
        <row r="198">
          <cell r="R198">
            <v>4450000</v>
          </cell>
        </row>
        <row r="204">
          <cell r="R204">
            <v>880000</v>
          </cell>
        </row>
        <row r="207">
          <cell r="R207">
            <v>400000</v>
          </cell>
        </row>
      </sheetData>
      <sheetData sheetId="2">
        <row r="204">
          <cell r="X204">
            <v>3557200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A BM"/>
      <sheetName val="LRA SP2D"/>
      <sheetName val="SPJ FUNGSIONAL "/>
    </sheetNames>
    <sheetDataSet>
      <sheetData sheetId="0"/>
      <sheetData sheetId="1">
        <row r="227">
          <cell r="U227">
            <v>440000</v>
          </cell>
        </row>
      </sheetData>
      <sheetData sheetId="2">
        <row r="234">
          <cell r="X234">
            <v>440000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A BM"/>
      <sheetName val="LRA SP2D"/>
      <sheetName val="SPJ FUNGSIONAL "/>
    </sheetNames>
    <sheetDataSet>
      <sheetData sheetId="0"/>
      <sheetData sheetId="1">
        <row r="234">
          <cell r="R234">
            <v>5400000</v>
          </cell>
        </row>
        <row r="258">
          <cell r="R258">
            <v>21600000</v>
          </cell>
        </row>
      </sheetData>
      <sheetData sheetId="2">
        <row r="221">
          <cell r="AA221">
            <v>48810250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A BM"/>
      <sheetName val="LRA SP2D"/>
      <sheetName val="SPJ FUNGSIONAL "/>
    </sheetNames>
    <sheetDataSet>
      <sheetData sheetId="0"/>
      <sheetData sheetId="1"/>
      <sheetData sheetId="2">
        <row r="30">
          <cell r="O30">
            <v>3890000000</v>
          </cell>
          <cell r="P30">
            <v>3580556900</v>
          </cell>
          <cell r="Q30">
            <v>281404185</v>
          </cell>
        </row>
        <row r="31">
          <cell r="O31">
            <v>380000000</v>
          </cell>
          <cell r="P31">
            <v>333715534</v>
          </cell>
          <cell r="Q31">
            <v>26251271</v>
          </cell>
        </row>
        <row r="32">
          <cell r="O32">
            <v>352651600</v>
          </cell>
          <cell r="P32">
            <v>316030000</v>
          </cell>
          <cell r="Q32">
            <v>24450000</v>
          </cell>
        </row>
        <row r="33">
          <cell r="O33">
            <v>80000000</v>
          </cell>
          <cell r="P33">
            <v>72190000</v>
          </cell>
          <cell r="Q33">
            <v>5335000</v>
          </cell>
        </row>
        <row r="34">
          <cell r="O34">
            <v>235000000</v>
          </cell>
          <cell r="P34">
            <v>207719872</v>
          </cell>
          <cell r="Q34">
            <v>15898604</v>
          </cell>
        </row>
        <row r="35">
          <cell r="O35">
            <v>3000000</v>
          </cell>
          <cell r="P35">
            <v>1412803</v>
          </cell>
          <cell r="Q35">
            <v>191771</v>
          </cell>
        </row>
        <row r="36">
          <cell r="O36">
            <v>60000</v>
          </cell>
          <cell r="P36">
            <v>49093</v>
          </cell>
          <cell r="Q36">
            <v>3881</v>
          </cell>
        </row>
        <row r="37">
          <cell r="O37">
            <v>345000000</v>
          </cell>
          <cell r="P37">
            <v>281421617</v>
          </cell>
          <cell r="Q37">
            <v>40135981</v>
          </cell>
        </row>
        <row r="38">
          <cell r="O38">
            <v>9244712</v>
          </cell>
          <cell r="P38">
            <v>7267851</v>
          </cell>
          <cell r="Q38">
            <v>660940</v>
          </cell>
        </row>
        <row r="39">
          <cell r="O39">
            <v>27735000</v>
          </cell>
          <cell r="P39">
            <v>21803661</v>
          </cell>
          <cell r="Q39">
            <v>1982818</v>
          </cell>
        </row>
        <row r="42">
          <cell r="O42">
            <v>4530000000</v>
          </cell>
          <cell r="P42">
            <v>3757908440</v>
          </cell>
          <cell r="Q42">
            <v>676248735</v>
          </cell>
        </row>
        <row r="50">
          <cell r="O50">
            <v>32621700</v>
          </cell>
          <cell r="V50">
            <v>28345700</v>
          </cell>
          <cell r="W50">
            <v>3313800</v>
          </cell>
        </row>
        <row r="56">
          <cell r="O56">
            <v>25206400</v>
          </cell>
          <cell r="V56">
            <v>22727650</v>
          </cell>
          <cell r="W56">
            <v>1733500</v>
          </cell>
        </row>
        <row r="57">
          <cell r="O57">
            <v>40849000</v>
          </cell>
          <cell r="V57">
            <v>32780500</v>
          </cell>
          <cell r="W57">
            <v>4791500</v>
          </cell>
        </row>
        <row r="58">
          <cell r="O58">
            <v>115000</v>
          </cell>
          <cell r="V58">
            <v>115000</v>
          </cell>
          <cell r="W58">
            <v>0</v>
          </cell>
        </row>
        <row r="59">
          <cell r="O59">
            <v>47550000</v>
          </cell>
          <cell r="V59">
            <v>40911000</v>
          </cell>
          <cell r="W59">
            <v>5570000</v>
          </cell>
        </row>
        <row r="60">
          <cell r="O60">
            <v>24193000</v>
          </cell>
          <cell r="V60">
            <v>18353500</v>
          </cell>
          <cell r="W60">
            <v>3825000</v>
          </cell>
        </row>
        <row r="61">
          <cell r="O61">
            <v>36091000</v>
          </cell>
          <cell r="V61">
            <v>27856000</v>
          </cell>
          <cell r="W61">
            <v>6240500</v>
          </cell>
        </row>
        <row r="62">
          <cell r="V62">
            <v>1200000</v>
          </cell>
        </row>
        <row r="63">
          <cell r="V63">
            <v>1200000</v>
          </cell>
        </row>
        <row r="64">
          <cell r="O64">
            <v>1800000</v>
          </cell>
          <cell r="V64">
            <v>1200000</v>
          </cell>
          <cell r="W64">
            <v>300000</v>
          </cell>
        </row>
        <row r="70">
          <cell r="O70">
            <v>50862250</v>
          </cell>
          <cell r="V70">
            <v>21554950</v>
          </cell>
          <cell r="W70">
            <v>16666750</v>
          </cell>
        </row>
        <row r="76">
          <cell r="O76">
            <v>78355000</v>
          </cell>
          <cell r="V76">
            <v>55701000</v>
          </cell>
          <cell r="W76">
            <v>12059650</v>
          </cell>
        </row>
        <row r="79">
          <cell r="O79">
            <v>174026500</v>
          </cell>
          <cell r="V79">
            <v>143607593</v>
          </cell>
          <cell r="W79">
            <v>1750000</v>
          </cell>
        </row>
        <row r="87">
          <cell r="O87">
            <v>680000</v>
          </cell>
          <cell r="V87">
            <v>680000</v>
          </cell>
          <cell r="W87">
            <v>0</v>
          </cell>
        </row>
        <row r="92">
          <cell r="O92">
            <v>67320000</v>
          </cell>
          <cell r="T92">
            <v>0</v>
          </cell>
          <cell r="U92">
            <v>67320000</v>
          </cell>
        </row>
        <row r="100">
          <cell r="O100">
            <v>6290000</v>
          </cell>
          <cell r="V100">
            <v>4348000</v>
          </cell>
          <cell r="W100">
            <v>300000</v>
          </cell>
        </row>
        <row r="105">
          <cell r="O105">
            <v>600000</v>
          </cell>
          <cell r="V105">
            <v>350000</v>
          </cell>
          <cell r="W105">
            <v>50000</v>
          </cell>
        </row>
        <row r="106">
          <cell r="O106">
            <v>6003000</v>
          </cell>
          <cell r="V106">
            <v>3339302</v>
          </cell>
          <cell r="W106">
            <v>263915</v>
          </cell>
        </row>
        <row r="107">
          <cell r="O107">
            <v>32571000</v>
          </cell>
          <cell r="V107">
            <v>21550124</v>
          </cell>
          <cell r="W107">
            <v>1615600</v>
          </cell>
        </row>
        <row r="108">
          <cell r="O108">
            <v>44855033</v>
          </cell>
          <cell r="V108">
            <v>28922026</v>
          </cell>
          <cell r="W108">
            <v>4262396</v>
          </cell>
        </row>
        <row r="113">
          <cell r="O113">
            <v>428700000</v>
          </cell>
          <cell r="V113">
            <v>341500000</v>
          </cell>
          <cell r="W113">
            <v>67700000</v>
          </cell>
        </row>
        <row r="114">
          <cell r="O114">
            <v>255080000</v>
          </cell>
          <cell r="V114">
            <v>193160000</v>
          </cell>
          <cell r="W114">
            <v>38880000</v>
          </cell>
        </row>
        <row r="115">
          <cell r="O115">
            <v>307160000</v>
          </cell>
          <cell r="V115">
            <v>258040000</v>
          </cell>
          <cell r="W115">
            <v>48720000</v>
          </cell>
        </row>
        <row r="116">
          <cell r="O116">
            <v>51000000</v>
          </cell>
          <cell r="V116">
            <v>42280000</v>
          </cell>
          <cell r="W116">
            <v>8000000</v>
          </cell>
        </row>
        <row r="118">
          <cell r="O118">
            <v>3024000</v>
          </cell>
          <cell r="V118">
            <v>2256840</v>
          </cell>
          <cell r="W118">
            <v>330168</v>
          </cell>
        </row>
        <row r="119">
          <cell r="O119">
            <v>9072000</v>
          </cell>
          <cell r="V119">
            <v>2821224</v>
          </cell>
          <cell r="W119">
            <v>392376</v>
          </cell>
        </row>
        <row r="127">
          <cell r="O127">
            <v>93922100</v>
          </cell>
          <cell r="V127">
            <v>75651000</v>
          </cell>
          <cell r="W127">
            <v>9295000</v>
          </cell>
        </row>
        <row r="128">
          <cell r="V128">
            <v>4388500</v>
          </cell>
        </row>
        <row r="130">
          <cell r="O130">
            <v>300000</v>
          </cell>
          <cell r="V130">
            <v>230000</v>
          </cell>
          <cell r="W130">
            <v>0</v>
          </cell>
        </row>
        <row r="131">
          <cell r="O131">
            <v>14500000</v>
          </cell>
          <cell r="V131">
            <v>4158500</v>
          </cell>
          <cell r="W131">
            <v>3097400</v>
          </cell>
        </row>
        <row r="132">
          <cell r="V132">
            <v>61883400</v>
          </cell>
        </row>
        <row r="133">
          <cell r="V133">
            <v>61883400</v>
          </cell>
        </row>
        <row r="134">
          <cell r="O134">
            <v>92100000</v>
          </cell>
          <cell r="V134">
            <v>61883400</v>
          </cell>
          <cell r="W134">
            <v>13630500</v>
          </cell>
        </row>
        <row r="140">
          <cell r="O140">
            <v>392500</v>
          </cell>
          <cell r="W140">
            <v>390000</v>
          </cell>
        </row>
        <row r="141">
          <cell r="O141">
            <v>400000</v>
          </cell>
          <cell r="V141">
            <v>400000</v>
          </cell>
          <cell r="W141">
            <v>0</v>
          </cell>
        </row>
        <row r="144">
          <cell r="O144">
            <v>10000000</v>
          </cell>
          <cell r="V144">
            <v>5720500</v>
          </cell>
          <cell r="W144">
            <v>4275000</v>
          </cell>
        </row>
        <row r="145">
          <cell r="O145">
            <v>2000000</v>
          </cell>
          <cell r="W145">
            <v>0</v>
          </cell>
        </row>
        <row r="146">
          <cell r="O146">
            <v>6600000</v>
          </cell>
          <cell r="V146">
            <v>900000</v>
          </cell>
          <cell r="W146">
            <v>2874000</v>
          </cell>
        </row>
        <row r="147">
          <cell r="O147">
            <v>42340000</v>
          </cell>
          <cell r="V147">
            <v>21990000</v>
          </cell>
          <cell r="W147">
            <v>7200000</v>
          </cell>
        </row>
        <row r="148">
          <cell r="O148">
            <v>26220000</v>
          </cell>
          <cell r="V148">
            <v>9535000</v>
          </cell>
          <cell r="W148">
            <v>4050000</v>
          </cell>
        </row>
        <row r="154">
          <cell r="O154">
            <v>89770000</v>
          </cell>
          <cell r="V154">
            <v>62933203</v>
          </cell>
          <cell r="W154">
            <v>6199500</v>
          </cell>
        </row>
        <row r="164">
          <cell r="O164">
            <v>8595750</v>
          </cell>
          <cell r="V164">
            <v>7748850</v>
          </cell>
          <cell r="W164">
            <v>700000</v>
          </cell>
        </row>
        <row r="165">
          <cell r="O165">
            <v>10667500</v>
          </cell>
          <cell r="V165">
            <v>7882500</v>
          </cell>
          <cell r="W165">
            <v>1000000</v>
          </cell>
        </row>
        <row r="166">
          <cell r="O166">
            <v>15117750</v>
          </cell>
          <cell r="V166">
            <v>9486250</v>
          </cell>
          <cell r="W166">
            <v>1976000</v>
          </cell>
        </row>
        <row r="169">
          <cell r="O169">
            <v>1475280000</v>
          </cell>
          <cell r="V169">
            <v>1232720000</v>
          </cell>
          <cell r="W169">
            <v>234160000</v>
          </cell>
        </row>
        <row r="170">
          <cell r="O170">
            <v>2400000</v>
          </cell>
          <cell r="W170">
            <v>386000</v>
          </cell>
        </row>
        <row r="172">
          <cell r="O172">
            <v>4147200</v>
          </cell>
          <cell r="V172">
            <v>3117510</v>
          </cell>
          <cell r="W172">
            <v>440010</v>
          </cell>
        </row>
        <row r="173">
          <cell r="O173">
            <v>12441600</v>
          </cell>
          <cell r="V173">
            <v>3792034</v>
          </cell>
          <cell r="W173">
            <v>354286</v>
          </cell>
        </row>
        <row r="176">
          <cell r="O176">
            <v>84170250</v>
          </cell>
          <cell r="V176">
            <v>75012562</v>
          </cell>
          <cell r="W176">
            <v>6871450</v>
          </cell>
        </row>
        <row r="184">
          <cell r="O184">
            <v>8000000</v>
          </cell>
          <cell r="V184">
            <v>2704000</v>
          </cell>
          <cell r="W184">
            <v>0</v>
          </cell>
        </row>
        <row r="185">
          <cell r="O185">
            <v>7581250</v>
          </cell>
          <cell r="V185">
            <v>3686800</v>
          </cell>
          <cell r="W185">
            <v>2627830</v>
          </cell>
        </row>
        <row r="186">
          <cell r="O186">
            <v>6881000</v>
          </cell>
          <cell r="V186">
            <v>1513800</v>
          </cell>
          <cell r="W186">
            <v>2978400</v>
          </cell>
        </row>
        <row r="187">
          <cell r="O187">
            <v>57656200</v>
          </cell>
          <cell r="V187">
            <v>43031650</v>
          </cell>
          <cell r="W187">
            <v>6724250</v>
          </cell>
        </row>
        <row r="188">
          <cell r="O188">
            <v>1550000</v>
          </cell>
          <cell r="V188">
            <v>800000</v>
          </cell>
          <cell r="W188">
            <v>200000</v>
          </cell>
        </row>
        <row r="189">
          <cell r="O189">
            <v>1600000</v>
          </cell>
          <cell r="V189">
            <v>400000</v>
          </cell>
          <cell r="W189">
            <v>0</v>
          </cell>
        </row>
        <row r="190">
          <cell r="O190">
            <v>10000000</v>
          </cell>
          <cell r="V190">
            <v>7757000</v>
          </cell>
          <cell r="W190">
            <v>0</v>
          </cell>
        </row>
        <row r="191">
          <cell r="O191">
            <v>119470000</v>
          </cell>
          <cell r="V191">
            <v>65358300</v>
          </cell>
          <cell r="W191">
            <v>27271388</v>
          </cell>
        </row>
        <row r="192">
          <cell r="O192">
            <v>207660000</v>
          </cell>
          <cell r="V192">
            <v>159343250</v>
          </cell>
          <cell r="W192">
            <v>32533625</v>
          </cell>
        </row>
        <row r="193">
          <cell r="O193">
            <v>51805000</v>
          </cell>
          <cell r="V193">
            <v>45036350</v>
          </cell>
          <cell r="W193">
            <v>2486400</v>
          </cell>
        </row>
        <row r="194">
          <cell r="O194">
            <v>36350000</v>
          </cell>
          <cell r="W194">
            <v>10946250</v>
          </cell>
        </row>
        <row r="195">
          <cell r="W195">
            <v>0</v>
          </cell>
        </row>
        <row r="198">
          <cell r="O198">
            <v>14400000</v>
          </cell>
          <cell r="V198">
            <v>14400000</v>
          </cell>
          <cell r="W198">
            <v>0</v>
          </cell>
        </row>
        <row r="199">
          <cell r="O199">
            <v>44700000</v>
          </cell>
          <cell r="V199">
            <v>16750000</v>
          </cell>
          <cell r="W199">
            <v>27550000</v>
          </cell>
        </row>
        <row r="200">
          <cell r="O200">
            <v>1427000000</v>
          </cell>
          <cell r="V200">
            <v>1158800000</v>
          </cell>
          <cell r="W200">
            <v>247950000</v>
          </cell>
        </row>
        <row r="201">
          <cell r="O201">
            <v>26250000</v>
          </cell>
          <cell r="V201">
            <v>17250000</v>
          </cell>
          <cell r="W201">
            <v>9000000</v>
          </cell>
        </row>
        <row r="202">
          <cell r="O202">
            <v>5500000</v>
          </cell>
          <cell r="V202">
            <v>3200000</v>
          </cell>
          <cell r="W202">
            <v>0</v>
          </cell>
        </row>
        <row r="203">
          <cell r="O203">
            <v>1950000</v>
          </cell>
        </row>
        <row r="204">
          <cell r="O204">
            <v>0</v>
          </cell>
        </row>
        <row r="205">
          <cell r="V205">
            <v>69447250</v>
          </cell>
        </row>
        <row r="206">
          <cell r="V206">
            <v>69447250</v>
          </cell>
        </row>
        <row r="207">
          <cell r="O207">
            <v>5402750</v>
          </cell>
          <cell r="V207">
            <v>4897250</v>
          </cell>
          <cell r="W207">
            <v>125000</v>
          </cell>
        </row>
        <row r="208">
          <cell r="O208">
            <v>115900000</v>
          </cell>
          <cell r="V208">
            <v>64550000</v>
          </cell>
          <cell r="W208">
            <v>28250000</v>
          </cell>
        </row>
        <row r="211">
          <cell r="O211">
            <v>14000000</v>
          </cell>
          <cell r="V211">
            <v>10000000</v>
          </cell>
          <cell r="W211">
            <v>4000000</v>
          </cell>
        </row>
        <row r="221">
          <cell r="O221">
            <v>10254000</v>
          </cell>
          <cell r="V221">
            <v>10148000</v>
          </cell>
          <cell r="W221">
            <v>0</v>
          </cell>
        </row>
        <row r="222">
          <cell r="O222">
            <v>767000</v>
          </cell>
          <cell r="V222">
            <v>739000</v>
          </cell>
          <cell r="W222">
            <v>0</v>
          </cell>
        </row>
        <row r="223">
          <cell r="O223">
            <v>5953400</v>
          </cell>
          <cell r="V223">
            <v>4919550</v>
          </cell>
          <cell r="W223">
            <v>-255000</v>
          </cell>
        </row>
        <row r="224">
          <cell r="O224">
            <v>632000</v>
          </cell>
          <cell r="V224">
            <v>632000</v>
          </cell>
          <cell r="W224">
            <v>0</v>
          </cell>
        </row>
        <row r="225">
          <cell r="O225">
            <v>10175000</v>
          </cell>
          <cell r="V225">
            <v>9257850</v>
          </cell>
          <cell r="W225">
            <v>0</v>
          </cell>
        </row>
        <row r="226">
          <cell r="O226">
            <v>39020000</v>
          </cell>
          <cell r="V226">
            <v>36878000</v>
          </cell>
          <cell r="W226">
            <v>0</v>
          </cell>
        </row>
        <row r="229">
          <cell r="O229">
            <v>1500000</v>
          </cell>
          <cell r="V229">
            <v>1500000</v>
          </cell>
          <cell r="W229">
            <v>0</v>
          </cell>
        </row>
        <row r="230">
          <cell r="O230">
            <v>880000</v>
          </cell>
          <cell r="W230">
            <v>0</v>
          </cell>
          <cell r="X230">
            <v>880000</v>
          </cell>
        </row>
        <row r="231">
          <cell r="O231">
            <v>52000000</v>
          </cell>
          <cell r="V231">
            <v>52000000</v>
          </cell>
          <cell r="W231">
            <v>0</v>
          </cell>
        </row>
        <row r="233">
          <cell r="O233">
            <v>0</v>
          </cell>
          <cell r="V233">
            <v>0</v>
          </cell>
          <cell r="W233">
            <v>0</v>
          </cell>
        </row>
        <row r="239">
          <cell r="O239">
            <v>36000000</v>
          </cell>
          <cell r="V239">
            <v>32510000</v>
          </cell>
          <cell r="W239">
            <v>0</v>
          </cell>
        </row>
        <row r="240">
          <cell r="O240">
            <v>20495050</v>
          </cell>
          <cell r="V240">
            <v>19568050</v>
          </cell>
          <cell r="W240">
            <v>-97500</v>
          </cell>
        </row>
        <row r="241">
          <cell r="O241">
            <v>1610000</v>
          </cell>
          <cell r="V241">
            <v>928000</v>
          </cell>
          <cell r="W241">
            <v>110000</v>
          </cell>
        </row>
        <row r="242">
          <cell r="O242">
            <v>10986050</v>
          </cell>
          <cell r="V242">
            <v>6295150</v>
          </cell>
          <cell r="W242">
            <v>2036350</v>
          </cell>
        </row>
        <row r="243">
          <cell r="O243">
            <v>500000</v>
          </cell>
          <cell r="V243">
            <v>500000</v>
          </cell>
          <cell r="W243">
            <v>0</v>
          </cell>
        </row>
        <row r="244">
          <cell r="O244">
            <v>800000</v>
          </cell>
          <cell r="V244">
            <v>0</v>
          </cell>
          <cell r="W244">
            <v>0</v>
          </cell>
        </row>
        <row r="245">
          <cell r="O245">
            <v>0</v>
          </cell>
          <cell r="V245">
            <v>0</v>
          </cell>
          <cell r="W245">
            <v>0</v>
          </cell>
        </row>
        <row r="246">
          <cell r="O246">
            <v>22245000</v>
          </cell>
          <cell r="V246">
            <v>9552900</v>
          </cell>
          <cell r="W246">
            <v>1987650</v>
          </cell>
        </row>
        <row r="247">
          <cell r="O247">
            <v>79675000</v>
          </cell>
          <cell r="V247">
            <v>28897850</v>
          </cell>
          <cell r="W247">
            <v>40091701</v>
          </cell>
        </row>
        <row r="248">
          <cell r="O248">
            <v>0</v>
          </cell>
          <cell r="V248">
            <v>0</v>
          </cell>
          <cell r="W248">
            <v>0</v>
          </cell>
        </row>
        <row r="251">
          <cell r="O251">
            <v>80500000</v>
          </cell>
          <cell r="V251">
            <v>52850000</v>
          </cell>
          <cell r="W251">
            <v>26050000</v>
          </cell>
        </row>
        <row r="252">
          <cell r="O252">
            <v>108000000</v>
          </cell>
          <cell r="V252">
            <v>85000000</v>
          </cell>
          <cell r="W252">
            <v>16000000</v>
          </cell>
        </row>
        <row r="253">
          <cell r="O253">
            <v>10000000</v>
          </cell>
          <cell r="W253">
            <v>10000000</v>
          </cell>
        </row>
        <row r="254">
          <cell r="O254">
            <v>16430000</v>
          </cell>
        </row>
        <row r="255">
          <cell r="O255">
            <v>23250000</v>
          </cell>
          <cell r="V255">
            <v>14250000</v>
          </cell>
          <cell r="W255">
            <v>9000000</v>
          </cell>
        </row>
        <row r="257">
          <cell r="O257">
            <v>3900000</v>
          </cell>
          <cell r="W257">
            <v>3900000</v>
          </cell>
        </row>
        <row r="258">
          <cell r="O258">
            <v>3000000</v>
          </cell>
          <cell r="W258">
            <v>3000000</v>
          </cell>
        </row>
        <row r="259">
          <cell r="V259">
            <v>74650480</v>
          </cell>
        </row>
        <row r="260">
          <cell r="V260">
            <v>74650480</v>
          </cell>
        </row>
        <row r="261">
          <cell r="O261">
            <v>62089700</v>
          </cell>
          <cell r="V261">
            <v>55000480</v>
          </cell>
          <cell r="W261">
            <v>385350</v>
          </cell>
        </row>
        <row r="262">
          <cell r="O262">
            <v>33600000</v>
          </cell>
          <cell r="V262">
            <v>19650000</v>
          </cell>
          <cell r="W262">
            <v>7600000</v>
          </cell>
        </row>
        <row r="265">
          <cell r="O265">
            <v>11100000</v>
          </cell>
          <cell r="W265">
            <v>4000000</v>
          </cell>
        </row>
        <row r="273">
          <cell r="O273">
            <v>41000</v>
          </cell>
          <cell r="V273">
            <v>41000</v>
          </cell>
          <cell r="W273">
            <v>0</v>
          </cell>
        </row>
        <row r="274">
          <cell r="O274">
            <v>35000</v>
          </cell>
          <cell r="V274">
            <v>25000</v>
          </cell>
          <cell r="W274">
            <v>0</v>
          </cell>
        </row>
        <row r="275">
          <cell r="O275">
            <v>26665000</v>
          </cell>
          <cell r="V275">
            <v>17239250</v>
          </cell>
          <cell r="W275">
            <v>3933750</v>
          </cell>
        </row>
        <row r="278">
          <cell r="O278">
            <v>2142000000</v>
          </cell>
          <cell r="V278">
            <v>1784700000</v>
          </cell>
          <cell r="W278">
            <v>357000000</v>
          </cell>
        </row>
        <row r="288">
          <cell r="O288">
            <v>0</v>
          </cell>
          <cell r="W288">
            <v>0</v>
          </cell>
        </row>
        <row r="289">
          <cell r="O289">
            <v>0</v>
          </cell>
        </row>
        <row r="290">
          <cell r="O290">
            <v>13625000</v>
          </cell>
          <cell r="V290">
            <v>6582450</v>
          </cell>
          <cell r="W290">
            <v>4305000</v>
          </cell>
        </row>
        <row r="293">
          <cell r="O293">
            <v>13050000</v>
          </cell>
          <cell r="V293">
            <v>9000000</v>
          </cell>
          <cell r="W293">
            <v>3100000</v>
          </cell>
        </row>
        <row r="303">
          <cell r="O303">
            <v>30000</v>
          </cell>
        </row>
        <row r="304">
          <cell r="O304">
            <v>3936450</v>
          </cell>
          <cell r="V304">
            <v>2369500</v>
          </cell>
          <cell r="W304">
            <v>405000</v>
          </cell>
        </row>
        <row r="305">
          <cell r="O305">
            <v>46000000</v>
          </cell>
          <cell r="V305">
            <v>40103000</v>
          </cell>
          <cell r="W305">
            <v>0</v>
          </cell>
        </row>
        <row r="306">
          <cell r="O306">
            <v>4000000</v>
          </cell>
          <cell r="V306">
            <v>3164700</v>
          </cell>
          <cell r="W306">
            <v>0</v>
          </cell>
        </row>
        <row r="307">
          <cell r="O307">
            <v>4800000</v>
          </cell>
          <cell r="V307">
            <v>3780000</v>
          </cell>
          <cell r="W307">
            <v>0</v>
          </cell>
        </row>
        <row r="308">
          <cell r="O308">
            <v>108145000</v>
          </cell>
          <cell r="V308">
            <v>69140730</v>
          </cell>
          <cell r="W308">
            <v>12763800</v>
          </cell>
        </row>
        <row r="309">
          <cell r="O309">
            <v>37500000</v>
          </cell>
          <cell r="W309">
            <v>0</v>
          </cell>
        </row>
        <row r="312">
          <cell r="O312">
            <v>25050000</v>
          </cell>
          <cell r="V312">
            <v>25050000</v>
          </cell>
          <cell r="W312">
            <v>0</v>
          </cell>
        </row>
        <row r="313">
          <cell r="O313">
            <v>0</v>
          </cell>
        </row>
        <row r="314">
          <cell r="O314">
            <v>17600000</v>
          </cell>
          <cell r="W314">
            <v>8000000</v>
          </cell>
        </row>
        <row r="315">
          <cell r="O315">
            <v>6000000</v>
          </cell>
          <cell r="W315">
            <v>0</v>
          </cell>
          <cell r="X315">
            <v>6000000</v>
          </cell>
        </row>
        <row r="316">
          <cell r="O316">
            <v>22500000</v>
          </cell>
          <cell r="V316">
            <v>19500000</v>
          </cell>
          <cell r="W316">
            <v>0</v>
          </cell>
        </row>
        <row r="319">
          <cell r="O319">
            <v>40500000</v>
          </cell>
          <cell r="V319">
            <v>22800000</v>
          </cell>
          <cell r="W319">
            <v>15600000</v>
          </cell>
        </row>
        <row r="322">
          <cell r="O322">
            <v>49200000</v>
          </cell>
          <cell r="V322">
            <v>49200000</v>
          </cell>
          <cell r="W322">
            <v>0</v>
          </cell>
        </row>
        <row r="328">
          <cell r="O328">
            <v>0</v>
          </cell>
        </row>
        <row r="329">
          <cell r="O329">
            <v>0</v>
          </cell>
        </row>
        <row r="330">
          <cell r="O330">
            <v>1305000</v>
          </cell>
          <cell r="V330">
            <v>400000</v>
          </cell>
          <cell r="W330">
            <v>400000</v>
          </cell>
        </row>
        <row r="331">
          <cell r="O331">
            <v>2400000</v>
          </cell>
          <cell r="W331">
            <v>1500000</v>
          </cell>
        </row>
        <row r="332">
          <cell r="O332">
            <v>1600000</v>
          </cell>
        </row>
        <row r="333">
          <cell r="O333">
            <v>15110000</v>
          </cell>
          <cell r="V333">
            <v>7393175</v>
          </cell>
          <cell r="W333">
            <v>4662000</v>
          </cell>
        </row>
        <row r="336">
          <cell r="O336">
            <v>3200000</v>
          </cell>
          <cell r="V336">
            <v>3200000</v>
          </cell>
          <cell r="W336">
            <v>0</v>
          </cell>
        </row>
        <row r="337">
          <cell r="O337">
            <v>1320000</v>
          </cell>
          <cell r="V337">
            <v>440000</v>
          </cell>
          <cell r="W337">
            <v>880000</v>
          </cell>
        </row>
        <row r="338">
          <cell r="O338">
            <v>11250000</v>
          </cell>
          <cell r="V338">
            <v>6400000</v>
          </cell>
          <cell r="W338">
            <v>2250000</v>
          </cell>
        </row>
        <row r="340">
          <cell r="O340">
            <v>1000000</v>
          </cell>
          <cell r="W340">
            <v>1000000</v>
          </cell>
        </row>
        <row r="343">
          <cell r="O343">
            <v>5775000</v>
          </cell>
          <cell r="V343">
            <v>1050000</v>
          </cell>
          <cell r="W343">
            <v>3700000</v>
          </cell>
        </row>
        <row r="346">
          <cell r="O346">
            <v>18400000</v>
          </cell>
          <cell r="V346">
            <v>3100000</v>
          </cell>
          <cell r="W346">
            <v>6100000</v>
          </cell>
        </row>
        <row r="396">
          <cell r="Y396">
            <v>0</v>
          </cell>
        </row>
        <row r="399">
          <cell r="V399" t="str">
            <v>Padang Panjang, 30 Desember  2022</v>
          </cell>
          <cell r="W399">
            <v>0</v>
          </cell>
          <cell r="X399">
            <v>0</v>
          </cell>
          <cell r="Y399">
            <v>0</v>
          </cell>
        </row>
        <row r="406">
          <cell r="N406" t="str">
            <v xml:space="preserve">Drs. A S R U L </v>
          </cell>
        </row>
        <row r="407">
          <cell r="N407" t="str">
            <v>NIP. 196511121997021004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A BM"/>
      <sheetName val="LRA SP2D"/>
      <sheetName val="SPJ FUNGSIONAL "/>
    </sheetNames>
    <sheetDataSet>
      <sheetData sheetId="0" refreshError="1"/>
      <sheetData sheetId="1" refreshError="1">
        <row r="24">
          <cell r="R24">
            <v>3580556900</v>
          </cell>
        </row>
        <row r="25">
          <cell r="R25">
            <v>338701828</v>
          </cell>
        </row>
        <row r="26">
          <cell r="R26">
            <v>316030000</v>
          </cell>
        </row>
        <row r="27">
          <cell r="R27">
            <v>72190000</v>
          </cell>
        </row>
        <row r="28">
          <cell r="R28">
            <v>209293800</v>
          </cell>
        </row>
        <row r="29">
          <cell r="R29">
            <v>1412803</v>
          </cell>
        </row>
        <row r="30">
          <cell r="R30">
            <v>49093</v>
          </cell>
        </row>
        <row r="31">
          <cell r="R31">
            <v>281421617</v>
          </cell>
        </row>
        <row r="32">
          <cell r="R32">
            <v>7267851</v>
          </cell>
        </row>
        <row r="33">
          <cell r="R33">
            <v>21803661</v>
          </cell>
        </row>
        <row r="36">
          <cell r="R36">
            <v>3757908440</v>
          </cell>
        </row>
        <row r="44">
          <cell r="R44">
            <v>24395700</v>
          </cell>
        </row>
        <row r="50">
          <cell r="R50">
            <v>21672650</v>
          </cell>
        </row>
        <row r="51">
          <cell r="R51">
            <v>29841500</v>
          </cell>
        </row>
        <row r="52">
          <cell r="R52">
            <v>115000</v>
          </cell>
        </row>
        <row r="53">
          <cell r="R53">
            <v>39421000</v>
          </cell>
        </row>
        <row r="54">
          <cell r="R54">
            <v>17242500</v>
          </cell>
        </row>
        <row r="55">
          <cell r="R55">
            <v>24380500</v>
          </cell>
        </row>
        <row r="58">
          <cell r="R58">
            <v>1200000</v>
          </cell>
        </row>
        <row r="64">
          <cell r="R64">
            <v>20954950</v>
          </cell>
        </row>
        <row r="70">
          <cell r="R70">
            <v>49517200</v>
          </cell>
        </row>
        <row r="73">
          <cell r="R73">
            <v>82912593</v>
          </cell>
        </row>
        <row r="94">
          <cell r="R94">
            <v>4178000</v>
          </cell>
        </row>
        <row r="99">
          <cell r="R99">
            <v>350000</v>
          </cell>
        </row>
        <row r="100">
          <cell r="R100">
            <v>3339302</v>
          </cell>
        </row>
        <row r="101">
          <cell r="R101">
            <v>21550124</v>
          </cell>
        </row>
        <row r="102">
          <cell r="R102">
            <v>27919276</v>
          </cell>
        </row>
        <row r="107">
          <cell r="R107">
            <v>341500000</v>
          </cell>
        </row>
        <row r="108">
          <cell r="R108">
            <v>193160000</v>
          </cell>
        </row>
        <row r="109">
          <cell r="R109">
            <v>258040000</v>
          </cell>
        </row>
        <row r="110">
          <cell r="R110">
            <v>42280000</v>
          </cell>
        </row>
        <row r="112">
          <cell r="R112">
            <v>2238750</v>
          </cell>
        </row>
        <row r="113">
          <cell r="R113">
            <v>2798610</v>
          </cell>
        </row>
        <row r="121">
          <cell r="R121">
            <v>75651000</v>
          </cell>
        </row>
        <row r="125">
          <cell r="R125">
            <v>3898050</v>
          </cell>
        </row>
        <row r="128">
          <cell r="R128">
            <v>56940400</v>
          </cell>
        </row>
        <row r="135">
          <cell r="R135">
            <v>400000</v>
          </cell>
        </row>
        <row r="138">
          <cell r="R138">
            <v>5720500</v>
          </cell>
        </row>
        <row r="139">
          <cell r="U139">
            <v>1000000</v>
          </cell>
        </row>
        <row r="141">
          <cell r="R141">
            <v>15980000</v>
          </cell>
        </row>
        <row r="142">
          <cell r="R142">
            <v>8400000</v>
          </cell>
        </row>
        <row r="148">
          <cell r="R148">
            <v>62933203</v>
          </cell>
        </row>
        <row r="158">
          <cell r="R158">
            <v>7748850</v>
          </cell>
        </row>
        <row r="159">
          <cell r="R159">
            <v>5410000</v>
          </cell>
        </row>
        <row r="160">
          <cell r="R160">
            <v>9486250</v>
          </cell>
        </row>
        <row r="163">
          <cell r="R163">
            <v>1232720000</v>
          </cell>
        </row>
        <row r="164">
          <cell r="R164">
            <v>126000</v>
          </cell>
          <cell r="U164">
            <v>126000</v>
          </cell>
        </row>
        <row r="166">
          <cell r="R166">
            <v>3075300</v>
          </cell>
        </row>
        <row r="167">
          <cell r="R167">
            <v>3739268</v>
          </cell>
        </row>
        <row r="170">
          <cell r="R170">
            <v>74081082</v>
          </cell>
        </row>
        <row r="178">
          <cell r="R178">
            <v>1918000</v>
          </cell>
        </row>
        <row r="179">
          <cell r="R179">
            <v>2456600</v>
          </cell>
        </row>
        <row r="180">
          <cell r="R180">
            <v>1402800</v>
          </cell>
        </row>
        <row r="181">
          <cell r="R181">
            <v>5202250</v>
          </cell>
        </row>
        <row r="182">
          <cell r="R182">
            <v>800000</v>
          </cell>
        </row>
        <row r="183">
          <cell r="R183">
            <v>400000</v>
          </cell>
        </row>
        <row r="184">
          <cell r="R184">
            <v>7757000</v>
          </cell>
        </row>
        <row r="185">
          <cell r="R185">
            <v>55433700</v>
          </cell>
        </row>
        <row r="186">
          <cell r="R186">
            <v>152859225</v>
          </cell>
        </row>
        <row r="188">
          <cell r="R188">
            <v>11750000</v>
          </cell>
          <cell r="U188">
            <v>24750000</v>
          </cell>
        </row>
        <row r="189">
          <cell r="U189">
            <v>4200000</v>
          </cell>
        </row>
        <row r="194">
          <cell r="R194">
            <v>1138050000</v>
          </cell>
        </row>
        <row r="201">
          <cell r="R201">
            <v>2747250</v>
          </cell>
        </row>
        <row r="202">
          <cell r="R202">
            <v>62050000</v>
          </cell>
        </row>
        <row r="233">
          <cell r="R233">
            <v>27710000</v>
          </cell>
        </row>
        <row r="234">
          <cell r="R234">
            <v>15589000</v>
          </cell>
        </row>
        <row r="235">
          <cell r="R235">
            <v>763000</v>
          </cell>
        </row>
        <row r="236">
          <cell r="R236">
            <v>5935150</v>
          </cell>
        </row>
        <row r="237">
          <cell r="R237">
            <v>200000</v>
          </cell>
        </row>
        <row r="240">
          <cell r="R240">
            <v>5615400</v>
          </cell>
        </row>
        <row r="241">
          <cell r="R241">
            <v>26125850</v>
          </cell>
        </row>
        <row r="245">
          <cell r="R245">
            <v>44400000</v>
          </cell>
        </row>
        <row r="246">
          <cell r="R246">
            <v>83000000</v>
          </cell>
        </row>
        <row r="248">
          <cell r="U248">
            <v>16430000</v>
          </cell>
        </row>
        <row r="249">
          <cell r="R249">
            <v>14250000</v>
          </cell>
        </row>
        <row r="255">
          <cell r="R255">
            <v>17150480</v>
          </cell>
        </row>
        <row r="256">
          <cell r="R256">
            <v>19650000</v>
          </cell>
        </row>
        <row r="258">
          <cell r="R258">
            <v>5500000</v>
          </cell>
        </row>
        <row r="259">
          <cell r="R259">
            <v>5500000</v>
          </cell>
          <cell r="U259">
            <v>7100000</v>
          </cell>
        </row>
        <row r="267">
          <cell r="R267">
            <v>41000</v>
          </cell>
        </row>
        <row r="268">
          <cell r="R268">
            <v>25000</v>
          </cell>
        </row>
        <row r="269">
          <cell r="R269">
            <v>17239250</v>
          </cell>
        </row>
        <row r="272">
          <cell r="R272">
            <v>1784700000</v>
          </cell>
        </row>
        <row r="284">
          <cell r="R284">
            <v>3668700</v>
          </cell>
        </row>
        <row r="287">
          <cell r="R287">
            <v>7200000</v>
          </cell>
        </row>
        <row r="298">
          <cell r="R298">
            <v>2369500</v>
          </cell>
        </row>
        <row r="299">
          <cell r="R299">
            <v>40103000</v>
          </cell>
        </row>
        <row r="302">
          <cell r="R302">
            <v>64478730</v>
          </cell>
        </row>
        <row r="303">
          <cell r="R303">
            <v>37500000</v>
          </cell>
          <cell r="U303">
            <v>37500000</v>
          </cell>
        </row>
        <row r="306">
          <cell r="R306">
            <v>16250000</v>
          </cell>
        </row>
        <row r="330">
          <cell r="R330">
            <v>2400000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753"/>
  <sheetViews>
    <sheetView topLeftCell="N1" zoomScale="59" zoomScaleNormal="59" workbookViewId="0">
      <pane xSplit="2" ySplit="15" topLeftCell="U310" activePane="bottomRight" state="frozen"/>
      <selection activeCell="N1" sqref="N1"/>
      <selection pane="topRight" activeCell="P1" sqref="P1"/>
      <selection pane="bottomLeft" activeCell="N16" sqref="N16"/>
      <selection pane="bottomRight" activeCell="N315" sqref="N315"/>
    </sheetView>
  </sheetViews>
  <sheetFormatPr defaultColWidth="8.7265625" defaultRowHeight="14.5"/>
  <cols>
    <col min="1" max="1" width="3.7265625" style="570" customWidth="1"/>
    <col min="2" max="2" width="6.26953125" style="570" customWidth="1"/>
    <col min="3" max="3" width="8.1796875" style="570" customWidth="1"/>
    <col min="4" max="4" width="3.7265625" style="570" customWidth="1"/>
    <col min="5" max="5" width="7.453125" style="570" customWidth="1"/>
    <col min="6" max="6" width="4.26953125" style="570" customWidth="1"/>
    <col min="7" max="8" width="3.7265625" style="570" customWidth="1"/>
    <col min="9" max="9" width="4.26953125" style="570" customWidth="1"/>
    <col min="10" max="10" width="4.1796875" style="570" customWidth="1"/>
    <col min="11" max="11" width="5.54296875" style="570" customWidth="1"/>
    <col min="12" max="12" width="5.1796875" style="570" customWidth="1"/>
    <col min="13" max="13" width="3.7265625" style="570" customWidth="1"/>
    <col min="14" max="14" width="60.453125" style="570" customWidth="1"/>
    <col min="15" max="15" width="25.453125" style="570" customWidth="1"/>
    <col min="16" max="16" width="29.26953125" style="570" customWidth="1"/>
    <col min="17" max="17" width="27.26953125" style="570" customWidth="1"/>
    <col min="18" max="18" width="29" style="570" customWidth="1"/>
    <col min="19" max="19" width="28.453125" style="570" customWidth="1"/>
    <col min="20" max="20" width="26.26953125" style="570" customWidth="1"/>
    <col min="21" max="21" width="29.7265625" style="570" customWidth="1"/>
    <col min="22" max="22" width="25" style="570" customWidth="1"/>
    <col min="23" max="23" width="18.26953125" style="570" customWidth="1"/>
    <col min="24" max="24" width="23" style="570" customWidth="1"/>
    <col min="25" max="25" width="13" style="570" customWidth="1"/>
    <col min="26" max="28" width="8.7265625" style="570"/>
    <col min="29" max="29" width="20.453125" style="570" bestFit="1" customWidth="1"/>
    <col min="30" max="30" width="8.7265625" style="570"/>
    <col min="31" max="31" width="24.453125" style="570" bestFit="1" customWidth="1"/>
    <col min="32" max="16384" width="8.7265625" style="570"/>
  </cols>
  <sheetData>
    <row r="1" spans="1:31" s="569" customFormat="1" ht="30.75" customHeight="1">
      <c r="A1" s="812" t="s">
        <v>321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  <c r="X1" s="812"/>
      <c r="Y1" s="812"/>
    </row>
    <row r="2" spans="1:31" s="569" customFormat="1" ht="30.75" customHeight="1">
      <c r="A2" s="812" t="s">
        <v>322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812"/>
    </row>
    <row r="3" spans="1:31" s="569" customFormat="1" ht="30.75" customHeight="1">
      <c r="A3" s="813" t="s">
        <v>569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</row>
    <row r="4" spans="1:31">
      <c r="O4" s="571">
        <f>N4-N5</f>
        <v>0</v>
      </c>
      <c r="T4" s="571"/>
      <c r="U4" s="571"/>
      <c r="V4" s="571"/>
    </row>
    <row r="5" spans="1:31" ht="15" customHeight="1">
      <c r="N5" s="571"/>
    </row>
    <row r="6" spans="1:31" s="572" customFormat="1" ht="15" customHeight="1">
      <c r="A6" s="814" t="s">
        <v>324</v>
      </c>
      <c r="B6" s="814"/>
      <c r="C6" s="814"/>
      <c r="D6" s="814"/>
      <c r="E6" s="814"/>
      <c r="F6" s="814"/>
      <c r="G6" s="814"/>
      <c r="H6" s="814"/>
      <c r="I6" s="814"/>
      <c r="J6" s="814"/>
      <c r="K6" s="814"/>
      <c r="L6" s="814"/>
      <c r="M6" s="814"/>
      <c r="N6" s="814" t="s">
        <v>325</v>
      </c>
      <c r="O6" s="814" t="s">
        <v>326</v>
      </c>
      <c r="P6" s="815" t="s">
        <v>327</v>
      </c>
      <c r="Q6" s="816"/>
      <c r="R6" s="817"/>
      <c r="S6" s="824" t="s">
        <v>328</v>
      </c>
      <c r="T6" s="825"/>
      <c r="U6" s="826"/>
      <c r="V6" s="805" t="s">
        <v>329</v>
      </c>
      <c r="W6" s="833" t="s">
        <v>570</v>
      </c>
      <c r="X6" s="807" t="s">
        <v>571</v>
      </c>
      <c r="Y6" s="805" t="s">
        <v>332</v>
      </c>
    </row>
    <row r="7" spans="1:31" s="572" customFormat="1" ht="15" customHeight="1">
      <c r="A7" s="814"/>
      <c r="B7" s="814"/>
      <c r="C7" s="814"/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8"/>
      <c r="Q7" s="819"/>
      <c r="R7" s="820"/>
      <c r="S7" s="827"/>
      <c r="T7" s="828"/>
      <c r="U7" s="829"/>
      <c r="V7" s="810"/>
      <c r="W7" s="834"/>
      <c r="X7" s="808"/>
      <c r="Y7" s="810"/>
    </row>
    <row r="8" spans="1:31" s="572" customFormat="1" ht="15" customHeight="1">
      <c r="A8" s="814"/>
      <c r="B8" s="814"/>
      <c r="C8" s="814"/>
      <c r="D8" s="814"/>
      <c r="E8" s="814"/>
      <c r="F8" s="814"/>
      <c r="G8" s="814"/>
      <c r="H8" s="814"/>
      <c r="I8" s="814"/>
      <c r="J8" s="814"/>
      <c r="K8" s="814"/>
      <c r="L8" s="814"/>
      <c r="M8" s="814"/>
      <c r="N8" s="814"/>
      <c r="O8" s="814"/>
      <c r="P8" s="818"/>
      <c r="Q8" s="819"/>
      <c r="R8" s="820"/>
      <c r="S8" s="827"/>
      <c r="T8" s="828"/>
      <c r="U8" s="829"/>
      <c r="V8" s="810"/>
      <c r="W8" s="834"/>
      <c r="X8" s="808"/>
      <c r="Y8" s="810"/>
    </row>
    <row r="9" spans="1:31" s="572" customFormat="1" ht="15" customHeight="1">
      <c r="A9" s="814"/>
      <c r="B9" s="814"/>
      <c r="C9" s="814"/>
      <c r="D9" s="814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  <c r="P9" s="821"/>
      <c r="Q9" s="822"/>
      <c r="R9" s="823"/>
      <c r="S9" s="830"/>
      <c r="T9" s="831"/>
      <c r="U9" s="832"/>
      <c r="V9" s="811"/>
      <c r="W9" s="834"/>
      <c r="X9" s="808"/>
      <c r="Y9" s="810"/>
    </row>
    <row r="10" spans="1:31" s="572" customFormat="1" ht="15" customHeight="1">
      <c r="A10" s="814"/>
      <c r="B10" s="814"/>
      <c r="C10" s="814"/>
      <c r="D10" s="814"/>
      <c r="E10" s="814"/>
      <c r="F10" s="814"/>
      <c r="G10" s="814"/>
      <c r="H10" s="814"/>
      <c r="I10" s="814"/>
      <c r="J10" s="814"/>
      <c r="K10" s="814"/>
      <c r="L10" s="814"/>
      <c r="M10" s="814"/>
      <c r="N10" s="814"/>
      <c r="O10" s="814"/>
      <c r="P10" s="805" t="s">
        <v>333</v>
      </c>
      <c r="Q10" s="805" t="s">
        <v>334</v>
      </c>
      <c r="R10" s="805" t="s">
        <v>335</v>
      </c>
      <c r="S10" s="805" t="s">
        <v>333</v>
      </c>
      <c r="T10" s="805" t="s">
        <v>334</v>
      </c>
      <c r="U10" s="805" t="s">
        <v>335</v>
      </c>
      <c r="V10" s="805" t="s">
        <v>335</v>
      </c>
      <c r="W10" s="834"/>
      <c r="X10" s="808"/>
      <c r="Y10" s="810"/>
    </row>
    <row r="11" spans="1:31" s="572" customFormat="1" ht="15" customHeight="1">
      <c r="A11" s="814"/>
      <c r="B11" s="814"/>
      <c r="C11" s="814"/>
      <c r="D11" s="814"/>
      <c r="E11" s="814"/>
      <c r="F11" s="814"/>
      <c r="G11" s="814"/>
      <c r="H11" s="814"/>
      <c r="I11" s="814"/>
      <c r="J11" s="814"/>
      <c r="K11" s="814"/>
      <c r="L11" s="814"/>
      <c r="M11" s="814"/>
      <c r="N11" s="814"/>
      <c r="O11" s="814"/>
      <c r="P11" s="810"/>
      <c r="Q11" s="810"/>
      <c r="R11" s="810"/>
      <c r="S11" s="810"/>
      <c r="T11" s="810"/>
      <c r="U11" s="810"/>
      <c r="V11" s="810"/>
      <c r="W11" s="834"/>
      <c r="X11" s="808"/>
      <c r="Y11" s="810" t="s">
        <v>335</v>
      </c>
    </row>
    <row r="12" spans="1:31" s="572" customFormat="1" ht="15" customHeight="1">
      <c r="A12" s="814"/>
      <c r="B12" s="814"/>
      <c r="C12" s="814"/>
      <c r="D12" s="814"/>
      <c r="E12" s="814"/>
      <c r="F12" s="814"/>
      <c r="G12" s="814"/>
      <c r="H12" s="814"/>
      <c r="I12" s="814"/>
      <c r="J12" s="814"/>
      <c r="K12" s="814"/>
      <c r="L12" s="814"/>
      <c r="M12" s="814"/>
      <c r="N12" s="814"/>
      <c r="O12" s="814"/>
      <c r="P12" s="810"/>
      <c r="Q12" s="810"/>
      <c r="R12" s="810"/>
      <c r="S12" s="810"/>
      <c r="T12" s="810"/>
      <c r="U12" s="810"/>
      <c r="V12" s="810"/>
      <c r="W12" s="834"/>
      <c r="X12" s="808"/>
      <c r="Y12" s="810"/>
    </row>
    <row r="13" spans="1:31" s="572" customFormat="1" ht="15.75" customHeight="1">
      <c r="A13" s="805"/>
      <c r="B13" s="805"/>
      <c r="C13" s="805"/>
      <c r="D13" s="805"/>
      <c r="E13" s="805"/>
      <c r="F13" s="805"/>
      <c r="G13" s="805"/>
      <c r="H13" s="805"/>
      <c r="I13" s="805"/>
      <c r="J13" s="805"/>
      <c r="K13" s="805"/>
      <c r="L13" s="805"/>
      <c r="M13" s="805"/>
      <c r="N13" s="805"/>
      <c r="O13" s="805"/>
      <c r="P13" s="810"/>
      <c r="Q13" s="810"/>
      <c r="R13" s="810"/>
      <c r="S13" s="810"/>
      <c r="T13" s="810"/>
      <c r="U13" s="810"/>
      <c r="V13" s="810"/>
      <c r="W13" s="834"/>
      <c r="X13" s="809"/>
      <c r="Y13" s="811"/>
    </row>
    <row r="14" spans="1:31" s="576" customFormat="1" ht="43.5" customHeight="1">
      <c r="A14" s="805" t="s">
        <v>336</v>
      </c>
      <c r="B14" s="805"/>
      <c r="C14" s="805"/>
      <c r="D14" s="805"/>
      <c r="E14" s="805"/>
      <c r="F14" s="805"/>
      <c r="G14" s="805"/>
      <c r="H14" s="805"/>
      <c r="I14" s="805"/>
      <c r="J14" s="805"/>
      <c r="K14" s="805"/>
      <c r="L14" s="805"/>
      <c r="M14" s="805"/>
      <c r="N14" s="573">
        <v>2</v>
      </c>
      <c r="O14" s="573" t="s">
        <v>337</v>
      </c>
      <c r="P14" s="573" t="s">
        <v>338</v>
      </c>
      <c r="Q14" s="573" t="s">
        <v>339</v>
      </c>
      <c r="R14" s="573" t="s">
        <v>340</v>
      </c>
      <c r="S14" s="573" t="s">
        <v>341</v>
      </c>
      <c r="T14" s="573" t="s">
        <v>342</v>
      </c>
      <c r="U14" s="573" t="s">
        <v>343</v>
      </c>
      <c r="V14" s="574" t="s">
        <v>344</v>
      </c>
      <c r="W14" s="574" t="s">
        <v>345</v>
      </c>
      <c r="X14" s="574" t="s">
        <v>346</v>
      </c>
      <c r="Y14" s="575" t="s">
        <v>347</v>
      </c>
    </row>
    <row r="15" spans="1:31" s="588" customFormat="1" ht="25" customHeight="1">
      <c r="A15" s="577" t="s">
        <v>341</v>
      </c>
      <c r="B15" s="578" t="s">
        <v>348</v>
      </c>
      <c r="C15" s="579"/>
      <c r="D15" s="579"/>
      <c r="E15" s="579"/>
      <c r="F15" s="579"/>
      <c r="G15" s="579"/>
      <c r="H15" s="579"/>
      <c r="I15" s="579"/>
      <c r="J15" s="579"/>
      <c r="K15" s="579"/>
      <c r="L15" s="579"/>
      <c r="M15" s="580"/>
      <c r="N15" s="581" t="s">
        <v>349</v>
      </c>
      <c r="O15" s="582">
        <f>O17+O157+O213+O286+O300</f>
        <v>17103334589</v>
      </c>
      <c r="P15" s="583">
        <f>P17+P157+P213+P286+P300</f>
        <v>15488348285.200001</v>
      </c>
      <c r="Q15" s="583">
        <f>Q16+Q17+Q157+Q213+Q286+Q300</f>
        <v>1396236307</v>
      </c>
      <c r="R15" s="584">
        <f>P15+Q15</f>
        <v>16884584592.200001</v>
      </c>
      <c r="S15" s="585">
        <f>S17+S157+S213+S286+S300</f>
        <v>14839589130.200001</v>
      </c>
      <c r="T15" s="585">
        <f>T17+T157+T213+T286+T300</f>
        <v>1963718677</v>
      </c>
      <c r="U15" s="584">
        <f>S15+T15</f>
        <v>16803307807.200001</v>
      </c>
      <c r="V15" s="584">
        <f>O15-U15</f>
        <v>300026781.79999924</v>
      </c>
      <c r="W15" s="586">
        <f>W17+W157+W213+W286</f>
        <v>7688610</v>
      </c>
      <c r="X15" s="584">
        <f>R15-W15-U15</f>
        <v>73588175</v>
      </c>
      <c r="Y15" s="587">
        <f>U15/O15*100%</f>
        <v>0.9824579949460287</v>
      </c>
      <c r="AE15" s="588">
        <v>7688</v>
      </c>
    </row>
    <row r="16" spans="1:31" s="598" customFormat="1" ht="21" customHeight="1">
      <c r="A16" s="589"/>
      <c r="B16" s="590"/>
      <c r="C16" s="590"/>
      <c r="D16" s="590"/>
      <c r="E16" s="590"/>
      <c r="F16" s="590"/>
      <c r="G16" s="590"/>
      <c r="H16" s="590"/>
      <c r="I16" s="590"/>
      <c r="J16" s="590"/>
      <c r="K16" s="590"/>
      <c r="L16" s="590"/>
      <c r="M16" s="591"/>
      <c r="N16" s="592"/>
      <c r="O16" s="593"/>
      <c r="P16" s="594"/>
      <c r="Q16" s="594"/>
      <c r="R16" s="595"/>
      <c r="S16" s="596"/>
      <c r="T16" s="596"/>
      <c r="U16" s="595"/>
      <c r="V16" s="595"/>
      <c r="W16" s="595"/>
      <c r="X16" s="595"/>
      <c r="Y16" s="597"/>
    </row>
    <row r="17" spans="1:31" s="588" customFormat="1" ht="54.75" customHeight="1">
      <c r="A17" s="599">
        <v>7</v>
      </c>
      <c r="B17" s="600" t="s">
        <v>348</v>
      </c>
      <c r="C17" s="600" t="s">
        <v>348</v>
      </c>
      <c r="D17" s="601"/>
      <c r="E17" s="601"/>
      <c r="F17" s="601"/>
      <c r="G17" s="601"/>
      <c r="H17" s="601"/>
      <c r="I17" s="601"/>
      <c r="J17" s="601"/>
      <c r="K17" s="601"/>
      <c r="L17" s="601"/>
      <c r="M17" s="602"/>
      <c r="N17" s="603" t="s">
        <v>104</v>
      </c>
      <c r="O17" s="604">
        <f>O19+O38+O76+O91+O117</f>
        <v>10655530613</v>
      </c>
      <c r="P17" s="605">
        <f>P19+P38+P76+P91+P117</f>
        <v>10235783580.200001</v>
      </c>
      <c r="Q17" s="605">
        <f>Q19+Q38+Q76+Q91+Q117</f>
        <v>871439902</v>
      </c>
      <c r="R17" s="606">
        <f>P17+Q17</f>
        <v>11107223482.200001</v>
      </c>
      <c r="S17" s="605">
        <f>S19+S38+S76+S91+S117</f>
        <v>9545713725.2000008</v>
      </c>
      <c r="T17" s="605">
        <f>T19+T38+T76+T91+T117</f>
        <v>968563197</v>
      </c>
      <c r="U17" s="606">
        <f>S17+T17</f>
        <v>10514276922.200001</v>
      </c>
      <c r="V17" s="606">
        <f>O17-U17</f>
        <v>141253690.79999924</v>
      </c>
      <c r="W17" s="607">
        <f>W19+W38+W91+W117</f>
        <v>7532610</v>
      </c>
      <c r="X17" s="607"/>
      <c r="Y17" s="608">
        <f t="shared" ref="Y17:Y93" si="0">U17/O17*100%</f>
        <v>0.98674362676714888</v>
      </c>
    </row>
    <row r="18" spans="1:31" s="588" customFormat="1" ht="18" customHeight="1">
      <c r="A18" s="609"/>
      <c r="B18" s="610"/>
      <c r="C18" s="610"/>
      <c r="D18" s="610"/>
      <c r="E18" s="610"/>
      <c r="F18" s="610"/>
      <c r="G18" s="610"/>
      <c r="H18" s="610"/>
      <c r="I18" s="610"/>
      <c r="J18" s="610"/>
      <c r="K18" s="610"/>
      <c r="L18" s="610"/>
      <c r="M18" s="611"/>
      <c r="N18" s="592"/>
      <c r="O18" s="612"/>
      <c r="P18" s="613"/>
      <c r="Q18" s="613"/>
      <c r="R18" s="595"/>
      <c r="S18" s="613"/>
      <c r="T18" s="613"/>
      <c r="U18" s="595"/>
      <c r="V18" s="595"/>
      <c r="W18" s="595"/>
      <c r="X18" s="595"/>
      <c r="Y18" s="597"/>
    </row>
    <row r="19" spans="1:31" s="588" customFormat="1" ht="42.75" customHeight="1">
      <c r="A19" s="614">
        <v>7</v>
      </c>
      <c r="B19" s="615" t="s">
        <v>348</v>
      </c>
      <c r="C19" s="615" t="s">
        <v>348</v>
      </c>
      <c r="D19" s="616">
        <v>2</v>
      </c>
      <c r="E19" s="615" t="s">
        <v>350</v>
      </c>
      <c r="F19" s="616"/>
      <c r="G19" s="616"/>
      <c r="H19" s="616"/>
      <c r="I19" s="616"/>
      <c r="J19" s="616"/>
      <c r="K19" s="616"/>
      <c r="L19" s="616"/>
      <c r="M19" s="617"/>
      <c r="N19" s="618" t="s">
        <v>351</v>
      </c>
      <c r="O19" s="619">
        <f>O21</f>
        <v>8707640297</v>
      </c>
      <c r="P19" s="620">
        <f>P21</f>
        <v>8005142847</v>
      </c>
      <c r="Q19" s="620">
        <f>Q21</f>
        <v>676536572</v>
      </c>
      <c r="R19" s="620">
        <f t="shared" ref="R19:R93" si="1">P19+Q19</f>
        <v>8681679419</v>
      </c>
      <c r="S19" s="620">
        <f>S21</f>
        <v>7999028742</v>
      </c>
      <c r="T19" s="620">
        <f>T21</f>
        <v>676121953</v>
      </c>
      <c r="U19" s="620">
        <f t="shared" ref="U19:U93" si="2">S19+T19</f>
        <v>8675150695</v>
      </c>
      <c r="V19" s="620">
        <f t="shared" ref="V19:V93" si="3">O19-U19</f>
        <v>32489602</v>
      </c>
      <c r="W19" s="620">
        <f>R19-U19</f>
        <v>6528724</v>
      </c>
      <c r="X19" s="620"/>
      <c r="Y19" s="621">
        <f t="shared" si="0"/>
        <v>0.99626883967506175</v>
      </c>
      <c r="AE19" s="622">
        <f>X15</f>
        <v>73588175</v>
      </c>
    </row>
    <row r="20" spans="1:31" s="588" customFormat="1" ht="18" customHeight="1">
      <c r="A20" s="623"/>
      <c r="B20" s="624"/>
      <c r="C20" s="624"/>
      <c r="D20" s="624"/>
      <c r="E20" s="624"/>
      <c r="F20" s="624"/>
      <c r="G20" s="624"/>
      <c r="H20" s="624"/>
      <c r="I20" s="624"/>
      <c r="J20" s="624"/>
      <c r="K20" s="624"/>
      <c r="L20" s="624"/>
      <c r="M20" s="625"/>
      <c r="N20" s="626"/>
      <c r="O20" s="627"/>
      <c r="P20" s="628"/>
      <c r="Q20" s="628"/>
      <c r="R20" s="595"/>
      <c r="S20" s="628"/>
      <c r="T20" s="628"/>
      <c r="U20" s="595"/>
      <c r="V20" s="595"/>
      <c r="W20" s="595"/>
      <c r="X20" s="595"/>
      <c r="Y20" s="597"/>
      <c r="AE20" s="622">
        <f>'[1]SPJ FUNGSIONAL '!AB365</f>
        <v>0</v>
      </c>
    </row>
    <row r="21" spans="1:31" s="588" customFormat="1" ht="31.5" customHeight="1">
      <c r="A21" s="629">
        <v>7</v>
      </c>
      <c r="B21" s="630" t="s">
        <v>348</v>
      </c>
      <c r="C21" s="630" t="s">
        <v>348</v>
      </c>
      <c r="D21" s="631">
        <v>2</v>
      </c>
      <c r="E21" s="630" t="s">
        <v>350</v>
      </c>
      <c r="F21" s="630" t="s">
        <v>348</v>
      </c>
      <c r="G21" s="631"/>
      <c r="H21" s="631"/>
      <c r="I21" s="631"/>
      <c r="J21" s="631"/>
      <c r="K21" s="631"/>
      <c r="L21" s="631"/>
      <c r="M21" s="632"/>
      <c r="N21" s="633" t="s">
        <v>107</v>
      </c>
      <c r="O21" s="634">
        <f>O22</f>
        <v>8707640297</v>
      </c>
      <c r="P21" s="635">
        <f>P22</f>
        <v>8005142847</v>
      </c>
      <c r="Q21" s="635">
        <f>Q22</f>
        <v>676536572</v>
      </c>
      <c r="R21" s="635">
        <f t="shared" si="1"/>
        <v>8681679419</v>
      </c>
      <c r="S21" s="635">
        <f>S22</f>
        <v>7999028742</v>
      </c>
      <c r="T21" s="635">
        <f>T22</f>
        <v>676121953</v>
      </c>
      <c r="U21" s="635">
        <f>S21+T21</f>
        <v>8675150695</v>
      </c>
      <c r="V21" s="635">
        <f t="shared" si="3"/>
        <v>32489602</v>
      </c>
      <c r="W21" s="635">
        <f>R21-U21</f>
        <v>6528724</v>
      </c>
      <c r="X21" s="635"/>
      <c r="Y21" s="636">
        <f t="shared" si="0"/>
        <v>0.99626883967506175</v>
      </c>
      <c r="AE21" s="622">
        <f>AE19-AE20</f>
        <v>73588175</v>
      </c>
    </row>
    <row r="22" spans="1:31" s="588" customFormat="1" ht="36.75" customHeight="1">
      <c r="A22" s="623">
        <v>7</v>
      </c>
      <c r="B22" s="637" t="s">
        <v>348</v>
      </c>
      <c r="C22" s="637" t="s">
        <v>348</v>
      </c>
      <c r="D22" s="624">
        <v>2</v>
      </c>
      <c r="E22" s="637" t="s">
        <v>350</v>
      </c>
      <c r="F22" s="637" t="s">
        <v>348</v>
      </c>
      <c r="G22" s="637" t="s">
        <v>339</v>
      </c>
      <c r="H22" s="637" t="s">
        <v>336</v>
      </c>
      <c r="I22" s="624"/>
      <c r="J22" s="624"/>
      <c r="K22" s="624"/>
      <c r="L22" s="624"/>
      <c r="M22" s="625"/>
      <c r="N22" s="626" t="s">
        <v>352</v>
      </c>
      <c r="O22" s="627">
        <f>O23+O34</f>
        <v>8707640297</v>
      </c>
      <c r="P22" s="628">
        <f>P23+P34</f>
        <v>8005142847</v>
      </c>
      <c r="Q22" s="628">
        <f>Q23+Q34</f>
        <v>676536572</v>
      </c>
      <c r="R22" s="595">
        <f t="shared" si="1"/>
        <v>8681679419</v>
      </c>
      <c r="S22" s="628">
        <f>S23+S34</f>
        <v>7999028742</v>
      </c>
      <c r="T22" s="628">
        <f>T23+T34</f>
        <v>676121953</v>
      </c>
      <c r="U22" s="595">
        <f t="shared" si="2"/>
        <v>8675150695</v>
      </c>
      <c r="V22" s="595">
        <f t="shared" si="3"/>
        <v>32489602</v>
      </c>
      <c r="W22" s="595">
        <f t="shared" ref="W22" si="4">R22-U22</f>
        <v>6528724</v>
      </c>
      <c r="X22" s="595">
        <v>0</v>
      </c>
      <c r="Y22" s="597">
        <f t="shared" si="0"/>
        <v>0.99626883967506175</v>
      </c>
    </row>
    <row r="23" spans="1:31" s="588" customFormat="1" ht="36.75" customHeight="1" thickBot="1">
      <c r="A23" s="623">
        <v>7</v>
      </c>
      <c r="B23" s="637" t="s">
        <v>348</v>
      </c>
      <c r="C23" s="637" t="s">
        <v>348</v>
      </c>
      <c r="D23" s="624">
        <v>2</v>
      </c>
      <c r="E23" s="637" t="s">
        <v>350</v>
      </c>
      <c r="F23" s="637" t="s">
        <v>348</v>
      </c>
      <c r="G23" s="637" t="s">
        <v>339</v>
      </c>
      <c r="H23" s="637" t="s">
        <v>336</v>
      </c>
      <c r="I23" s="637" t="s">
        <v>348</v>
      </c>
      <c r="J23" s="637" t="s">
        <v>348</v>
      </c>
      <c r="K23" s="624"/>
      <c r="L23" s="624"/>
      <c r="M23" s="625"/>
      <c r="N23" s="626" t="s">
        <v>353</v>
      </c>
      <c r="O23" s="627">
        <f>SUM(O24:O33)</f>
        <v>4865975328</v>
      </c>
      <c r="P23" s="628">
        <f>SUM(P24:P33)</f>
        <v>4496183402</v>
      </c>
      <c r="Q23" s="628">
        <f>SUM(Q24:Q33)</f>
        <v>349712438</v>
      </c>
      <c r="R23" s="595">
        <f t="shared" si="1"/>
        <v>4845895840</v>
      </c>
      <c r="S23" s="628">
        <f>SUM(S24:S33)</f>
        <v>4490069297</v>
      </c>
      <c r="T23" s="628">
        <f>SUM(T24:T33)</f>
        <v>349297819</v>
      </c>
      <c r="U23" s="595">
        <f t="shared" si="2"/>
        <v>4839367116</v>
      </c>
      <c r="V23" s="595">
        <f t="shared" si="3"/>
        <v>26608212</v>
      </c>
      <c r="W23" s="595">
        <f>R23-U23</f>
        <v>6528724</v>
      </c>
      <c r="X23" s="595">
        <v>0</v>
      </c>
      <c r="Y23" s="597">
        <f t="shared" si="0"/>
        <v>0.99453178238556006</v>
      </c>
      <c r="AE23" s="622"/>
    </row>
    <row r="24" spans="1:31" s="588" customFormat="1" ht="36.75" customHeight="1" thickTop="1">
      <c r="A24" s="638">
        <v>7</v>
      </c>
      <c r="B24" s="639" t="s">
        <v>348</v>
      </c>
      <c r="C24" s="639" t="s">
        <v>348</v>
      </c>
      <c r="D24" s="640">
        <v>2</v>
      </c>
      <c r="E24" s="639" t="s">
        <v>350</v>
      </c>
      <c r="F24" s="639" t="s">
        <v>348</v>
      </c>
      <c r="G24" s="640">
        <v>5</v>
      </c>
      <c r="H24" s="640">
        <v>1</v>
      </c>
      <c r="I24" s="639" t="s">
        <v>348</v>
      </c>
      <c r="J24" s="639" t="s">
        <v>348</v>
      </c>
      <c r="K24" s="639" t="s">
        <v>348</v>
      </c>
      <c r="L24" s="639" t="s">
        <v>354</v>
      </c>
      <c r="M24" s="641">
        <v>1</v>
      </c>
      <c r="N24" s="642" t="s">
        <v>355</v>
      </c>
      <c r="O24" s="643">
        <f>'[1]SPJ FUNGSIONAL '!O30</f>
        <v>3590591863</v>
      </c>
      <c r="P24" s="644">
        <f>'[2]LRA SP2D'!$R$24</f>
        <v>3334856563</v>
      </c>
      <c r="Q24" s="645">
        <v>255565400</v>
      </c>
      <c r="R24" s="644">
        <f t="shared" si="1"/>
        <v>3590421963</v>
      </c>
      <c r="S24" s="644">
        <f>'[1]SPJ FUNGSIONAL '!P30</f>
        <v>3334856563</v>
      </c>
      <c r="T24" s="644">
        <f>'[1]SPJ FUNGSIONAL '!Q30</f>
        <v>255565400</v>
      </c>
      <c r="U24" s="644">
        <f t="shared" si="2"/>
        <v>3590421963</v>
      </c>
      <c r="V24" s="644">
        <f t="shared" si="3"/>
        <v>169900</v>
      </c>
      <c r="W24" s="644">
        <f>R24-U24</f>
        <v>0</v>
      </c>
      <c r="X24" s="644"/>
      <c r="Y24" s="646">
        <f t="shared" si="0"/>
        <v>0.9999526818957758</v>
      </c>
      <c r="AE24" s="647">
        <v>1059642899</v>
      </c>
    </row>
    <row r="25" spans="1:31" s="588" customFormat="1" ht="36.75" customHeight="1">
      <c r="A25" s="638">
        <v>7</v>
      </c>
      <c r="B25" s="639" t="s">
        <v>348</v>
      </c>
      <c r="C25" s="639" t="s">
        <v>348</v>
      </c>
      <c r="D25" s="640">
        <v>2</v>
      </c>
      <c r="E25" s="639" t="s">
        <v>350</v>
      </c>
      <c r="F25" s="639" t="s">
        <v>348</v>
      </c>
      <c r="G25" s="640">
        <v>5</v>
      </c>
      <c r="H25" s="640">
        <v>1</v>
      </c>
      <c r="I25" s="639" t="s">
        <v>348</v>
      </c>
      <c r="J25" s="639" t="s">
        <v>348</v>
      </c>
      <c r="K25" s="639" t="s">
        <v>350</v>
      </c>
      <c r="L25" s="639" t="s">
        <v>354</v>
      </c>
      <c r="M25" s="641">
        <v>1</v>
      </c>
      <c r="N25" s="648" t="s">
        <v>356</v>
      </c>
      <c r="O25" s="649">
        <f>'[1]SPJ FUNGSIONAL '!O31</f>
        <v>334569424</v>
      </c>
      <c r="P25" s="650">
        <f>'[2]LRA SP2D'!$R$25</f>
        <v>309827438</v>
      </c>
      <c r="Q25" s="651">
        <v>23737784</v>
      </c>
      <c r="R25" s="650">
        <f t="shared" si="1"/>
        <v>333565222</v>
      </c>
      <c r="S25" s="650">
        <f>'[1]SPJ FUNGSIONAL '!P31</f>
        <v>305903269</v>
      </c>
      <c r="T25" s="650">
        <f>'[1]SPJ FUNGSIONAL '!Q31</f>
        <v>23419725</v>
      </c>
      <c r="U25" s="650">
        <f t="shared" si="2"/>
        <v>329322994</v>
      </c>
      <c r="V25" s="650">
        <f t="shared" si="3"/>
        <v>5246430</v>
      </c>
      <c r="W25" s="650">
        <f t="shared" ref="W25:W36" si="5">R25-U25</f>
        <v>4242228</v>
      </c>
      <c r="X25" s="650"/>
      <c r="Y25" s="652">
        <f t="shared" si="0"/>
        <v>0.9843188599326399</v>
      </c>
      <c r="Z25" s="653"/>
      <c r="AE25" s="622">
        <v>1455495222</v>
      </c>
    </row>
    <row r="26" spans="1:31" s="588" customFormat="1" ht="36.75" customHeight="1">
      <c r="A26" s="638">
        <v>7</v>
      </c>
      <c r="B26" s="639" t="s">
        <v>348</v>
      </c>
      <c r="C26" s="639" t="s">
        <v>348</v>
      </c>
      <c r="D26" s="640">
        <v>2</v>
      </c>
      <c r="E26" s="639" t="s">
        <v>350</v>
      </c>
      <c r="F26" s="639" t="s">
        <v>348</v>
      </c>
      <c r="G26" s="640">
        <v>5</v>
      </c>
      <c r="H26" s="640">
        <v>1</v>
      </c>
      <c r="I26" s="639" t="s">
        <v>348</v>
      </c>
      <c r="J26" s="639" t="s">
        <v>348</v>
      </c>
      <c r="K26" s="654" t="s">
        <v>357</v>
      </c>
      <c r="L26" s="639" t="s">
        <v>354</v>
      </c>
      <c r="M26" s="641">
        <v>1</v>
      </c>
      <c r="N26" s="648" t="s">
        <v>358</v>
      </c>
      <c r="O26" s="655">
        <f>'[1]SPJ FUNGSIONAL '!O32</f>
        <v>340430000</v>
      </c>
      <c r="P26" s="656">
        <f>'[2]LRA SP2D'!$R$26</f>
        <v>313480000</v>
      </c>
      <c r="Q26" s="657">
        <v>23680000</v>
      </c>
      <c r="R26" s="656">
        <f t="shared" si="1"/>
        <v>337160000</v>
      </c>
      <c r="S26" s="656">
        <f>'[1]SPJ FUNGSIONAL '!P32</f>
        <v>313480000</v>
      </c>
      <c r="T26" s="656">
        <f>'[1]SPJ FUNGSIONAL '!Q32</f>
        <v>23680000</v>
      </c>
      <c r="U26" s="656">
        <f t="shared" si="2"/>
        <v>337160000</v>
      </c>
      <c r="V26" s="656">
        <f t="shared" si="3"/>
        <v>3270000</v>
      </c>
      <c r="W26" s="656">
        <f t="shared" si="5"/>
        <v>0</v>
      </c>
      <c r="X26" s="656">
        <v>0</v>
      </c>
      <c r="Y26" s="658">
        <f t="shared" si="0"/>
        <v>0.99039450107217342</v>
      </c>
      <c r="Z26" s="653"/>
    </row>
    <row r="27" spans="1:31" s="588" customFormat="1" ht="36.75" customHeight="1">
      <c r="A27" s="638">
        <v>7</v>
      </c>
      <c r="B27" s="639" t="s">
        <v>348</v>
      </c>
      <c r="C27" s="639" t="s">
        <v>348</v>
      </c>
      <c r="D27" s="640">
        <v>2</v>
      </c>
      <c r="E27" s="639" t="s">
        <v>350</v>
      </c>
      <c r="F27" s="639" t="s">
        <v>348</v>
      </c>
      <c r="G27" s="640">
        <v>5</v>
      </c>
      <c r="H27" s="640">
        <v>1</v>
      </c>
      <c r="I27" s="639" t="s">
        <v>348</v>
      </c>
      <c r="J27" s="639" t="s">
        <v>348</v>
      </c>
      <c r="K27" s="654" t="s">
        <v>359</v>
      </c>
      <c r="L27" s="639" t="s">
        <v>354</v>
      </c>
      <c r="M27" s="641">
        <v>1</v>
      </c>
      <c r="N27" s="648" t="s">
        <v>360</v>
      </c>
      <c r="O27" s="655">
        <f>'[1]SPJ FUNGSIONAL '!O33</f>
        <v>70400000</v>
      </c>
      <c r="P27" s="650">
        <f>'[2]LRA SP2D'!$R$27</f>
        <v>58880000</v>
      </c>
      <c r="Q27" s="651">
        <v>4390000</v>
      </c>
      <c r="R27" s="650">
        <f t="shared" si="1"/>
        <v>63270000</v>
      </c>
      <c r="S27" s="650">
        <f>'[1]SPJ FUNGSIONAL '!P33</f>
        <v>57955000</v>
      </c>
      <c r="T27" s="650">
        <f>'[1]SPJ FUNGSIONAL '!Q33</f>
        <v>4390000</v>
      </c>
      <c r="U27" s="650">
        <f t="shared" si="2"/>
        <v>62345000</v>
      </c>
      <c r="V27" s="650">
        <f t="shared" si="3"/>
        <v>8055000</v>
      </c>
      <c r="W27" s="650">
        <f t="shared" si="5"/>
        <v>925000</v>
      </c>
      <c r="X27" s="650"/>
      <c r="Y27" s="652">
        <f t="shared" si="0"/>
        <v>0.8855823863636364</v>
      </c>
      <c r="Z27" s="653"/>
      <c r="AE27" s="622">
        <f>SUM(AE24:AE26)</f>
        <v>2515138121</v>
      </c>
    </row>
    <row r="28" spans="1:31" s="588" customFormat="1" ht="36.75" customHeight="1">
      <c r="A28" s="638">
        <v>7</v>
      </c>
      <c r="B28" s="639" t="s">
        <v>348</v>
      </c>
      <c r="C28" s="639" t="s">
        <v>348</v>
      </c>
      <c r="D28" s="640">
        <v>2</v>
      </c>
      <c r="E28" s="639" t="s">
        <v>350</v>
      </c>
      <c r="F28" s="639" t="s">
        <v>348</v>
      </c>
      <c r="G28" s="640">
        <v>5</v>
      </c>
      <c r="H28" s="640">
        <v>1</v>
      </c>
      <c r="I28" s="639" t="s">
        <v>348</v>
      </c>
      <c r="J28" s="639" t="s">
        <v>348</v>
      </c>
      <c r="K28" s="654" t="s">
        <v>361</v>
      </c>
      <c r="L28" s="639" t="s">
        <v>354</v>
      </c>
      <c r="M28" s="641">
        <v>1</v>
      </c>
      <c r="N28" s="648" t="s">
        <v>362</v>
      </c>
      <c r="O28" s="655">
        <f>'[1]SPJ FUNGSIONAL '!O34</f>
        <v>207269060</v>
      </c>
      <c r="P28" s="650">
        <f>'[2]LRA SP2D'!$R$28</f>
        <v>188654100</v>
      </c>
      <c r="Q28" s="651">
        <v>14628840</v>
      </c>
      <c r="R28" s="650">
        <f t="shared" si="1"/>
        <v>203282940</v>
      </c>
      <c r="S28" s="650">
        <f>'[1]SPJ FUNGSIONAL '!P34</f>
        <v>187389164</v>
      </c>
      <c r="T28" s="650">
        <f>'[1]SPJ FUNGSIONAL '!Q34</f>
        <v>14532280</v>
      </c>
      <c r="U28" s="650">
        <f t="shared" si="2"/>
        <v>201921444</v>
      </c>
      <c r="V28" s="650">
        <f t="shared" si="3"/>
        <v>5347616</v>
      </c>
      <c r="W28" s="650">
        <f t="shared" si="5"/>
        <v>1361496</v>
      </c>
      <c r="X28" s="650"/>
      <c r="Y28" s="652">
        <f t="shared" si="0"/>
        <v>0.97419964176032836</v>
      </c>
      <c r="Z28" s="653"/>
    </row>
    <row r="29" spans="1:31" s="588" customFormat="1" ht="36.75" customHeight="1">
      <c r="A29" s="638">
        <v>7</v>
      </c>
      <c r="B29" s="639" t="s">
        <v>348</v>
      </c>
      <c r="C29" s="639" t="s">
        <v>348</v>
      </c>
      <c r="D29" s="640">
        <v>2</v>
      </c>
      <c r="E29" s="639" t="s">
        <v>350</v>
      </c>
      <c r="F29" s="639" t="s">
        <v>348</v>
      </c>
      <c r="G29" s="640">
        <v>5</v>
      </c>
      <c r="H29" s="640">
        <v>1</v>
      </c>
      <c r="I29" s="639" t="s">
        <v>348</v>
      </c>
      <c r="J29" s="639" t="s">
        <v>348</v>
      </c>
      <c r="K29" s="654" t="s">
        <v>363</v>
      </c>
      <c r="L29" s="639" t="s">
        <v>354</v>
      </c>
      <c r="M29" s="641">
        <v>1</v>
      </c>
      <c r="N29" s="642" t="s">
        <v>364</v>
      </c>
      <c r="O29" s="643">
        <f>'[1]SPJ FUNGSIONAL '!O35</f>
        <v>1712731</v>
      </c>
      <c r="P29" s="644">
        <f>'[2]LRA SP2D'!$R$29</f>
        <v>1370276</v>
      </c>
      <c r="Q29" s="659">
        <v>63844</v>
      </c>
      <c r="R29" s="644">
        <f t="shared" si="1"/>
        <v>1434120</v>
      </c>
      <c r="S29" s="644">
        <f>'[1]SPJ FUNGSIONAL '!P35</f>
        <v>1370276</v>
      </c>
      <c r="T29" s="644">
        <f>'[1]SPJ FUNGSIONAL '!Q35</f>
        <v>63844</v>
      </c>
      <c r="U29" s="644">
        <f t="shared" si="2"/>
        <v>1434120</v>
      </c>
      <c r="V29" s="644">
        <f t="shared" si="3"/>
        <v>278611</v>
      </c>
      <c r="W29" s="644">
        <f t="shared" si="5"/>
        <v>0</v>
      </c>
      <c r="X29" s="644"/>
      <c r="Y29" s="646">
        <f t="shared" si="0"/>
        <v>0.83732938797744649</v>
      </c>
    </row>
    <row r="30" spans="1:31" s="588" customFormat="1" ht="36.75" customHeight="1">
      <c r="A30" s="638">
        <v>7</v>
      </c>
      <c r="B30" s="639" t="s">
        <v>348</v>
      </c>
      <c r="C30" s="639" t="s">
        <v>348</v>
      </c>
      <c r="D30" s="640">
        <v>2</v>
      </c>
      <c r="E30" s="639" t="s">
        <v>350</v>
      </c>
      <c r="F30" s="639" t="s">
        <v>348</v>
      </c>
      <c r="G30" s="640">
        <v>5</v>
      </c>
      <c r="H30" s="640">
        <v>1</v>
      </c>
      <c r="I30" s="639" t="s">
        <v>348</v>
      </c>
      <c r="J30" s="639" t="s">
        <v>348</v>
      </c>
      <c r="K30" s="654" t="s">
        <v>365</v>
      </c>
      <c r="L30" s="639" t="s">
        <v>354</v>
      </c>
      <c r="M30" s="641">
        <v>1</v>
      </c>
      <c r="N30" s="642" t="s">
        <v>366</v>
      </c>
      <c r="O30" s="643">
        <f>'[1]SPJ FUNGSIONAL '!O36</f>
        <v>72213</v>
      </c>
      <c r="P30" s="644">
        <f>'[2]LRA SP2D'!$R$30</f>
        <v>41761</v>
      </c>
      <c r="Q30" s="659">
        <v>3378</v>
      </c>
      <c r="R30" s="644">
        <f t="shared" si="1"/>
        <v>45139</v>
      </c>
      <c r="S30" s="644">
        <f>'[1]SPJ FUNGSIONAL '!P36</f>
        <v>41761</v>
      </c>
      <c r="T30" s="644">
        <f>'[1]SPJ FUNGSIONAL '!Q36</f>
        <v>3378</v>
      </c>
      <c r="U30" s="644">
        <f t="shared" si="2"/>
        <v>45139</v>
      </c>
      <c r="V30" s="644">
        <f t="shared" si="3"/>
        <v>27074</v>
      </c>
      <c r="W30" s="644">
        <f t="shared" si="5"/>
        <v>0</v>
      </c>
      <c r="X30" s="644"/>
      <c r="Y30" s="646">
        <f t="shared" si="0"/>
        <v>0.62508135654245078</v>
      </c>
    </row>
    <row r="31" spans="1:31" s="588" customFormat="1" ht="36.75" customHeight="1">
      <c r="A31" s="638">
        <v>7</v>
      </c>
      <c r="B31" s="639" t="s">
        <v>348</v>
      </c>
      <c r="C31" s="639" t="s">
        <v>348</v>
      </c>
      <c r="D31" s="640">
        <v>2</v>
      </c>
      <c r="E31" s="639" t="s">
        <v>350</v>
      </c>
      <c r="F31" s="639" t="s">
        <v>348</v>
      </c>
      <c r="G31" s="640">
        <v>5</v>
      </c>
      <c r="H31" s="640">
        <v>1</v>
      </c>
      <c r="I31" s="639" t="s">
        <v>348</v>
      </c>
      <c r="J31" s="639" t="s">
        <v>348</v>
      </c>
      <c r="K31" s="654" t="s">
        <v>367</v>
      </c>
      <c r="L31" s="639" t="s">
        <v>354</v>
      </c>
      <c r="M31" s="641">
        <v>1</v>
      </c>
      <c r="N31" s="642" t="s">
        <v>368</v>
      </c>
      <c r="O31" s="643">
        <f>'[1]SPJ FUNGSIONAL '!O37</f>
        <v>291069871</v>
      </c>
      <c r="P31" s="644">
        <f>'[2]LRA SP2D'!$R$31</f>
        <v>262075541</v>
      </c>
      <c r="Q31" s="659">
        <f>12294930+12894828</f>
        <v>25189758</v>
      </c>
      <c r="R31" s="644">
        <f t="shared" si="1"/>
        <v>287265299</v>
      </c>
      <c r="S31" s="644">
        <f>'[1]SPJ FUNGSIONAL '!P37</f>
        <v>262075541</v>
      </c>
      <c r="T31" s="644">
        <f>'[1]SPJ FUNGSIONAL '!Q37</f>
        <v>25189758</v>
      </c>
      <c r="U31" s="644">
        <f t="shared" si="2"/>
        <v>287265299</v>
      </c>
      <c r="V31" s="644">
        <f t="shared" si="3"/>
        <v>3804572</v>
      </c>
      <c r="W31" s="644">
        <f t="shared" si="5"/>
        <v>0</v>
      </c>
      <c r="X31" s="644"/>
      <c r="Y31" s="646">
        <f t="shared" si="0"/>
        <v>0.98692900784636695</v>
      </c>
      <c r="AE31" s="622">
        <f>X15</f>
        <v>73588175</v>
      </c>
    </row>
    <row r="32" spans="1:31" s="588" customFormat="1" ht="36.75" customHeight="1">
      <c r="A32" s="638">
        <v>7</v>
      </c>
      <c r="B32" s="639" t="s">
        <v>348</v>
      </c>
      <c r="C32" s="639" t="s">
        <v>348</v>
      </c>
      <c r="D32" s="640">
        <v>2</v>
      </c>
      <c r="E32" s="639" t="s">
        <v>350</v>
      </c>
      <c r="F32" s="639" t="s">
        <v>348</v>
      </c>
      <c r="G32" s="640">
        <v>5</v>
      </c>
      <c r="H32" s="640">
        <v>1</v>
      </c>
      <c r="I32" s="639" t="s">
        <v>348</v>
      </c>
      <c r="J32" s="639" t="s">
        <v>348</v>
      </c>
      <c r="K32" s="660">
        <v>10</v>
      </c>
      <c r="L32" s="639" t="s">
        <v>354</v>
      </c>
      <c r="M32" s="641">
        <v>1</v>
      </c>
      <c r="N32" s="642" t="s">
        <v>369</v>
      </c>
      <c r="O32" s="643">
        <f>'[1]SPJ FUNGSIONAL '!O38</f>
        <v>7465059</v>
      </c>
      <c r="P32" s="644">
        <f>'[2]LRA SP2D'!$R$32</f>
        <v>6749441</v>
      </c>
      <c r="Q32" s="659">
        <v>613359</v>
      </c>
      <c r="R32" s="644">
        <f t="shared" si="1"/>
        <v>7362800</v>
      </c>
      <c r="S32" s="644">
        <f>'[1]SPJ FUNGSIONAL '!P38</f>
        <v>6749441</v>
      </c>
      <c r="T32" s="644">
        <f>'[1]SPJ FUNGSIONAL '!Q38</f>
        <v>613359</v>
      </c>
      <c r="U32" s="644">
        <f t="shared" si="2"/>
        <v>7362800</v>
      </c>
      <c r="V32" s="644">
        <f t="shared" si="3"/>
        <v>102259</v>
      </c>
      <c r="W32" s="644">
        <f>R32-U32</f>
        <v>0</v>
      </c>
      <c r="X32" s="644"/>
      <c r="Y32" s="646">
        <f t="shared" si="0"/>
        <v>0.98630164878804039</v>
      </c>
      <c r="AE32" s="588">
        <f>'[1]SPJ FUNGSIONAL '!AB365</f>
        <v>0</v>
      </c>
    </row>
    <row r="33" spans="1:31" s="588" customFormat="1" ht="36.75" customHeight="1">
      <c r="A33" s="638">
        <v>7</v>
      </c>
      <c r="B33" s="639" t="s">
        <v>348</v>
      </c>
      <c r="C33" s="639" t="s">
        <v>348</v>
      </c>
      <c r="D33" s="640">
        <v>2</v>
      </c>
      <c r="E33" s="639" t="s">
        <v>350</v>
      </c>
      <c r="F33" s="639" t="s">
        <v>348</v>
      </c>
      <c r="G33" s="640">
        <v>5</v>
      </c>
      <c r="H33" s="640">
        <v>1</v>
      </c>
      <c r="I33" s="639" t="s">
        <v>348</v>
      </c>
      <c r="J33" s="639" t="s">
        <v>348</v>
      </c>
      <c r="K33" s="654" t="s">
        <v>370</v>
      </c>
      <c r="L33" s="639" t="s">
        <v>354</v>
      </c>
      <c r="M33" s="641">
        <v>1</v>
      </c>
      <c r="N33" s="642" t="s">
        <v>371</v>
      </c>
      <c r="O33" s="643">
        <f>'[1]SPJ FUNGSIONAL '!O39</f>
        <v>22395107</v>
      </c>
      <c r="P33" s="644">
        <f>'[2]LRA SP2D'!$R$33</f>
        <v>20248282</v>
      </c>
      <c r="Q33" s="659">
        <v>1840075</v>
      </c>
      <c r="R33" s="644">
        <f t="shared" si="1"/>
        <v>22088357</v>
      </c>
      <c r="S33" s="644">
        <f>'[1]SPJ FUNGSIONAL '!P39</f>
        <v>20248282</v>
      </c>
      <c r="T33" s="644">
        <f>'[1]SPJ FUNGSIONAL '!Q39</f>
        <v>1840075</v>
      </c>
      <c r="U33" s="644">
        <f t="shared" si="2"/>
        <v>22088357</v>
      </c>
      <c r="V33" s="644">
        <f t="shared" si="3"/>
        <v>306750</v>
      </c>
      <c r="W33" s="644">
        <f t="shared" si="5"/>
        <v>0</v>
      </c>
      <c r="X33" s="644"/>
      <c r="Y33" s="646">
        <f t="shared" si="0"/>
        <v>0.98630281159183564</v>
      </c>
      <c r="AE33" s="622">
        <f>AE31-AE32</f>
        <v>73588175</v>
      </c>
    </row>
    <row r="34" spans="1:31" s="588" customFormat="1" ht="36.75" customHeight="1">
      <c r="A34" s="623">
        <v>7</v>
      </c>
      <c r="B34" s="637" t="s">
        <v>348</v>
      </c>
      <c r="C34" s="637" t="s">
        <v>348</v>
      </c>
      <c r="D34" s="624">
        <v>2</v>
      </c>
      <c r="E34" s="637" t="s">
        <v>350</v>
      </c>
      <c r="F34" s="637" t="s">
        <v>348</v>
      </c>
      <c r="G34" s="624">
        <v>5</v>
      </c>
      <c r="H34" s="624">
        <v>1</v>
      </c>
      <c r="I34" s="637" t="s">
        <v>348</v>
      </c>
      <c r="J34" s="637" t="s">
        <v>350</v>
      </c>
      <c r="K34" s="624"/>
      <c r="L34" s="624"/>
      <c r="M34" s="625"/>
      <c r="N34" s="626" t="s">
        <v>372</v>
      </c>
      <c r="O34" s="627">
        <f t="shared" ref="O34:Q35" si="6">O35</f>
        <v>3841664969</v>
      </c>
      <c r="P34" s="628">
        <f t="shared" si="6"/>
        <v>3508959445</v>
      </c>
      <c r="Q34" s="628">
        <f t="shared" si="6"/>
        <v>326824134</v>
      </c>
      <c r="R34" s="595">
        <f t="shared" si="1"/>
        <v>3835783579</v>
      </c>
      <c r="S34" s="628">
        <f>S35</f>
        <v>3508959445</v>
      </c>
      <c r="T34" s="628">
        <f>T35</f>
        <v>326824134</v>
      </c>
      <c r="U34" s="595">
        <f t="shared" si="2"/>
        <v>3835783579</v>
      </c>
      <c r="V34" s="595">
        <f t="shared" si="3"/>
        <v>5881390</v>
      </c>
      <c r="W34" s="644">
        <f t="shared" si="5"/>
        <v>0</v>
      </c>
      <c r="X34" s="595"/>
      <c r="Y34" s="597">
        <f t="shared" si="0"/>
        <v>0.99846905181803736</v>
      </c>
    </row>
    <row r="35" spans="1:31" s="588" customFormat="1" ht="40.5" customHeight="1">
      <c r="A35" s="623">
        <v>7</v>
      </c>
      <c r="B35" s="637" t="s">
        <v>348</v>
      </c>
      <c r="C35" s="637" t="s">
        <v>348</v>
      </c>
      <c r="D35" s="624">
        <v>2</v>
      </c>
      <c r="E35" s="637" t="s">
        <v>350</v>
      </c>
      <c r="F35" s="637" t="s">
        <v>348</v>
      </c>
      <c r="G35" s="624">
        <v>5</v>
      </c>
      <c r="H35" s="624">
        <v>1</v>
      </c>
      <c r="I35" s="637" t="s">
        <v>348</v>
      </c>
      <c r="J35" s="637" t="s">
        <v>350</v>
      </c>
      <c r="K35" s="637" t="s">
        <v>348</v>
      </c>
      <c r="L35" s="624"/>
      <c r="M35" s="625"/>
      <c r="N35" s="661" t="s">
        <v>373</v>
      </c>
      <c r="O35" s="662">
        <f t="shared" si="6"/>
        <v>3841664969</v>
      </c>
      <c r="P35" s="595">
        <f t="shared" si="6"/>
        <v>3508959445</v>
      </c>
      <c r="Q35" s="595">
        <f t="shared" si="6"/>
        <v>326824134</v>
      </c>
      <c r="R35" s="595">
        <f t="shared" si="1"/>
        <v>3835783579</v>
      </c>
      <c r="S35" s="595">
        <f>S36</f>
        <v>3508959445</v>
      </c>
      <c r="T35" s="595">
        <f>T36</f>
        <v>326824134</v>
      </c>
      <c r="U35" s="595">
        <f t="shared" si="2"/>
        <v>3835783579</v>
      </c>
      <c r="V35" s="595">
        <f t="shared" si="3"/>
        <v>5881390</v>
      </c>
      <c r="W35" s="644">
        <f t="shared" si="5"/>
        <v>0</v>
      </c>
      <c r="X35" s="595"/>
      <c r="Y35" s="597">
        <f t="shared" si="0"/>
        <v>0.99846905181803736</v>
      </c>
    </row>
    <row r="36" spans="1:31" s="588" customFormat="1" ht="36.75" customHeight="1">
      <c r="A36" s="638">
        <v>7</v>
      </c>
      <c r="B36" s="639" t="s">
        <v>348</v>
      </c>
      <c r="C36" s="639" t="s">
        <v>348</v>
      </c>
      <c r="D36" s="640">
        <v>2</v>
      </c>
      <c r="E36" s="639" t="s">
        <v>350</v>
      </c>
      <c r="F36" s="639" t="s">
        <v>348</v>
      </c>
      <c r="G36" s="640">
        <v>5</v>
      </c>
      <c r="H36" s="640">
        <v>1</v>
      </c>
      <c r="I36" s="639" t="s">
        <v>348</v>
      </c>
      <c r="J36" s="639" t="s">
        <v>350</v>
      </c>
      <c r="K36" s="639" t="s">
        <v>348</v>
      </c>
      <c r="L36" s="639" t="s">
        <v>354</v>
      </c>
      <c r="M36" s="641">
        <v>1</v>
      </c>
      <c r="N36" s="663" t="s">
        <v>373</v>
      </c>
      <c r="O36" s="643">
        <f>'[1]SPJ FUNGSIONAL '!O42</f>
        <v>3841664969</v>
      </c>
      <c r="P36" s="644">
        <f>'[2]LRA SP2D'!$R$36</f>
        <v>3508959445</v>
      </c>
      <c r="Q36" s="644">
        <f>T36</f>
        <v>326824134</v>
      </c>
      <c r="R36" s="644">
        <f t="shared" si="1"/>
        <v>3835783579</v>
      </c>
      <c r="S36" s="644">
        <f>'[1]SPJ FUNGSIONAL '!P42</f>
        <v>3508959445</v>
      </c>
      <c r="T36" s="644">
        <f>'[1]SPJ FUNGSIONAL '!Q42</f>
        <v>326824134</v>
      </c>
      <c r="U36" s="644">
        <f t="shared" si="2"/>
        <v>3835783579</v>
      </c>
      <c r="V36" s="644">
        <f t="shared" si="3"/>
        <v>5881390</v>
      </c>
      <c r="W36" s="644">
        <f t="shared" si="5"/>
        <v>0</v>
      </c>
      <c r="X36" s="644"/>
      <c r="Y36" s="646">
        <f t="shared" si="0"/>
        <v>0.99846905181803736</v>
      </c>
    </row>
    <row r="37" spans="1:31" s="588" customFormat="1" ht="25" customHeight="1">
      <c r="A37" s="638"/>
      <c r="B37" s="640"/>
      <c r="C37" s="640"/>
      <c r="D37" s="640"/>
      <c r="E37" s="640"/>
      <c r="F37" s="640"/>
      <c r="G37" s="640"/>
      <c r="H37" s="640"/>
      <c r="I37" s="640"/>
      <c r="J37" s="640"/>
      <c r="K37" s="640"/>
      <c r="L37" s="640"/>
      <c r="M37" s="641"/>
      <c r="N37" s="663"/>
      <c r="O37" s="643"/>
      <c r="P37" s="664"/>
      <c r="Q37" s="664"/>
      <c r="R37" s="664"/>
      <c r="S37" s="664"/>
      <c r="T37" s="664"/>
      <c r="U37" s="664">
        <f t="shared" si="2"/>
        <v>0</v>
      </c>
      <c r="V37" s="664"/>
      <c r="W37" s="664"/>
      <c r="X37" s="664"/>
      <c r="Y37" s="646"/>
    </row>
    <row r="38" spans="1:31" s="588" customFormat="1" ht="48.75" customHeight="1">
      <c r="A38" s="614">
        <v>7</v>
      </c>
      <c r="B38" s="615" t="s">
        <v>348</v>
      </c>
      <c r="C38" s="615" t="s">
        <v>348</v>
      </c>
      <c r="D38" s="616">
        <v>2</v>
      </c>
      <c r="E38" s="615" t="s">
        <v>361</v>
      </c>
      <c r="F38" s="616"/>
      <c r="G38" s="616"/>
      <c r="H38" s="616"/>
      <c r="I38" s="616"/>
      <c r="J38" s="616"/>
      <c r="K38" s="616"/>
      <c r="L38" s="616"/>
      <c r="M38" s="617"/>
      <c r="N38" s="618" t="s">
        <v>374</v>
      </c>
      <c r="O38" s="619">
        <f>O40+O46+O61+O67</f>
        <v>366006950</v>
      </c>
      <c r="P38" s="619">
        <f>P39+P40+P46+P61+P67</f>
        <v>991048223</v>
      </c>
      <c r="Q38" s="619">
        <f>Q39+Q40+Q46+Q61+Q67</f>
        <v>42750500</v>
      </c>
      <c r="R38" s="619">
        <f>R39+R40+R46+R61+R67</f>
        <v>1033798723</v>
      </c>
      <c r="S38" s="619">
        <f t="shared" ref="S38:U38" si="7">S40+S46+S61+S67</f>
        <v>276111973</v>
      </c>
      <c r="T38" s="619">
        <f t="shared" si="7"/>
        <v>57767750</v>
      </c>
      <c r="U38" s="619">
        <f t="shared" si="7"/>
        <v>333879723</v>
      </c>
      <c r="V38" s="620">
        <f t="shared" si="3"/>
        <v>32127227</v>
      </c>
      <c r="W38" s="620">
        <f>W40+W46+W61+W67</f>
        <v>44550</v>
      </c>
      <c r="X38" s="620">
        <f>X40+X46+X61+X67</f>
        <v>-20081000</v>
      </c>
      <c r="Y38" s="621">
        <f t="shared" si="0"/>
        <v>0.91222235807270868</v>
      </c>
    </row>
    <row r="39" spans="1:31" s="588" customFormat="1" ht="30" customHeight="1">
      <c r="A39" s="623"/>
      <c r="B39" s="624"/>
      <c r="C39" s="624"/>
      <c r="D39" s="624"/>
      <c r="E39" s="624"/>
      <c r="F39" s="624"/>
      <c r="G39" s="624"/>
      <c r="H39" s="624"/>
      <c r="I39" s="624"/>
      <c r="J39" s="624"/>
      <c r="K39" s="624"/>
      <c r="L39" s="624"/>
      <c r="M39" s="625"/>
      <c r="N39" s="626" t="s">
        <v>375</v>
      </c>
      <c r="O39" s="627"/>
      <c r="P39" s="595">
        <f>'[3]LRA SP2D'!$R$39</f>
        <v>720000000</v>
      </c>
      <c r="Q39" s="595"/>
      <c r="R39" s="595">
        <f>SUM(P39:Q39)</f>
        <v>720000000</v>
      </c>
      <c r="S39" s="595"/>
      <c r="T39" s="595"/>
      <c r="U39" s="595"/>
      <c r="V39" s="595"/>
      <c r="W39" s="595"/>
      <c r="X39" s="595"/>
      <c r="Y39" s="597"/>
    </row>
    <row r="40" spans="1:31" s="588" customFormat="1" ht="39.75" customHeight="1">
      <c r="A40" s="629">
        <v>7</v>
      </c>
      <c r="B40" s="630" t="s">
        <v>348</v>
      </c>
      <c r="C40" s="630" t="s">
        <v>348</v>
      </c>
      <c r="D40" s="631">
        <v>2</v>
      </c>
      <c r="E40" s="630" t="s">
        <v>361</v>
      </c>
      <c r="F40" s="630" t="s">
        <v>348</v>
      </c>
      <c r="G40" s="631"/>
      <c r="H40" s="631"/>
      <c r="I40" s="631"/>
      <c r="J40" s="631"/>
      <c r="K40" s="631"/>
      <c r="L40" s="631"/>
      <c r="M40" s="632"/>
      <c r="N40" s="665" t="s">
        <v>376</v>
      </c>
      <c r="O40" s="634">
        <f>O41</f>
        <v>16884300</v>
      </c>
      <c r="P40" s="635">
        <f t="shared" ref="P40:Q43" si="8">P41</f>
        <v>12970400</v>
      </c>
      <c r="Q40" s="635">
        <f t="shared" si="8"/>
        <v>1418000</v>
      </c>
      <c r="R40" s="635">
        <f t="shared" si="1"/>
        <v>14388400</v>
      </c>
      <c r="S40" s="635">
        <f t="shared" ref="S40:T43" si="9">S41</f>
        <v>12970400</v>
      </c>
      <c r="T40" s="635">
        <f t="shared" si="9"/>
        <v>2119000</v>
      </c>
      <c r="U40" s="635">
        <f t="shared" si="2"/>
        <v>15089400</v>
      </c>
      <c r="V40" s="635">
        <f t="shared" si="3"/>
        <v>1794900</v>
      </c>
      <c r="W40" s="635"/>
      <c r="X40" s="635">
        <f t="shared" ref="X40:X98" si="10">R40-U40</f>
        <v>-701000</v>
      </c>
      <c r="Y40" s="666">
        <f t="shared" si="0"/>
        <v>0.8936941418951333</v>
      </c>
    </row>
    <row r="41" spans="1:31" s="588" customFormat="1" ht="38.25" customHeight="1">
      <c r="A41" s="623">
        <v>7</v>
      </c>
      <c r="B41" s="637" t="s">
        <v>348</v>
      </c>
      <c r="C41" s="637" t="s">
        <v>348</v>
      </c>
      <c r="D41" s="624">
        <v>2</v>
      </c>
      <c r="E41" s="637" t="s">
        <v>361</v>
      </c>
      <c r="F41" s="637" t="s">
        <v>348</v>
      </c>
      <c r="G41" s="624">
        <v>5</v>
      </c>
      <c r="H41" s="624">
        <v>1</v>
      </c>
      <c r="I41" s="637" t="s">
        <v>350</v>
      </c>
      <c r="J41" s="624"/>
      <c r="K41" s="624"/>
      <c r="L41" s="624"/>
      <c r="M41" s="625"/>
      <c r="N41" s="667" t="s">
        <v>377</v>
      </c>
      <c r="O41" s="627">
        <f>O42</f>
        <v>16884300</v>
      </c>
      <c r="P41" s="628">
        <f t="shared" si="8"/>
        <v>12970400</v>
      </c>
      <c r="Q41" s="628">
        <f t="shared" si="8"/>
        <v>1418000</v>
      </c>
      <c r="R41" s="595">
        <f t="shared" si="1"/>
        <v>14388400</v>
      </c>
      <c r="S41" s="628">
        <f t="shared" si="9"/>
        <v>12970400</v>
      </c>
      <c r="T41" s="628">
        <f t="shared" si="9"/>
        <v>2119000</v>
      </c>
      <c r="U41" s="595">
        <f t="shared" si="2"/>
        <v>15089400</v>
      </c>
      <c r="V41" s="595">
        <f t="shared" si="3"/>
        <v>1794900</v>
      </c>
      <c r="W41" s="595"/>
      <c r="X41" s="595">
        <f t="shared" si="10"/>
        <v>-701000</v>
      </c>
      <c r="Y41" s="597">
        <f t="shared" si="0"/>
        <v>0.8936941418951333</v>
      </c>
    </row>
    <row r="42" spans="1:31" s="588" customFormat="1" ht="38.25" customHeight="1">
      <c r="A42" s="623">
        <v>7</v>
      </c>
      <c r="B42" s="637" t="s">
        <v>348</v>
      </c>
      <c r="C42" s="637" t="s">
        <v>348</v>
      </c>
      <c r="D42" s="624">
        <v>2</v>
      </c>
      <c r="E42" s="637" t="s">
        <v>361</v>
      </c>
      <c r="F42" s="637" t="s">
        <v>348</v>
      </c>
      <c r="G42" s="624">
        <v>5</v>
      </c>
      <c r="H42" s="624">
        <v>1</v>
      </c>
      <c r="I42" s="637" t="s">
        <v>350</v>
      </c>
      <c r="J42" s="637" t="s">
        <v>348</v>
      </c>
      <c r="K42" s="624"/>
      <c r="L42" s="624"/>
      <c r="M42" s="625"/>
      <c r="N42" s="667" t="s">
        <v>378</v>
      </c>
      <c r="O42" s="627">
        <f>O43</f>
        <v>16884300</v>
      </c>
      <c r="P42" s="628">
        <f t="shared" si="8"/>
        <v>12970400</v>
      </c>
      <c r="Q42" s="628">
        <f t="shared" si="8"/>
        <v>1418000</v>
      </c>
      <c r="R42" s="595">
        <f t="shared" si="1"/>
        <v>14388400</v>
      </c>
      <c r="S42" s="628">
        <f t="shared" si="9"/>
        <v>12970400</v>
      </c>
      <c r="T42" s="628">
        <f t="shared" si="9"/>
        <v>2119000</v>
      </c>
      <c r="U42" s="595">
        <f t="shared" si="2"/>
        <v>15089400</v>
      </c>
      <c r="V42" s="595">
        <f t="shared" si="3"/>
        <v>1794900</v>
      </c>
      <c r="W42" s="595"/>
      <c r="X42" s="595">
        <f>R42-U42</f>
        <v>-701000</v>
      </c>
      <c r="Y42" s="597">
        <f t="shared" si="0"/>
        <v>0.8936941418951333</v>
      </c>
    </row>
    <row r="43" spans="1:31" s="588" customFormat="1" ht="38.25" customHeight="1">
      <c r="A43" s="623">
        <v>7</v>
      </c>
      <c r="B43" s="637" t="s">
        <v>348</v>
      </c>
      <c r="C43" s="637" t="s">
        <v>348</v>
      </c>
      <c r="D43" s="624">
        <v>2</v>
      </c>
      <c r="E43" s="637" t="s">
        <v>361</v>
      </c>
      <c r="F43" s="637" t="s">
        <v>348</v>
      </c>
      <c r="G43" s="624">
        <v>5</v>
      </c>
      <c r="H43" s="624">
        <v>1</v>
      </c>
      <c r="I43" s="637" t="s">
        <v>350</v>
      </c>
      <c r="J43" s="637" t="s">
        <v>348</v>
      </c>
      <c r="K43" s="637" t="s">
        <v>348</v>
      </c>
      <c r="L43" s="624"/>
      <c r="M43" s="625"/>
      <c r="N43" s="667" t="s">
        <v>379</v>
      </c>
      <c r="O43" s="627">
        <f>O44</f>
        <v>16884300</v>
      </c>
      <c r="P43" s="628">
        <f t="shared" si="8"/>
        <v>12970400</v>
      </c>
      <c r="Q43" s="628">
        <f t="shared" si="8"/>
        <v>1418000</v>
      </c>
      <c r="R43" s="595">
        <f t="shared" si="1"/>
        <v>14388400</v>
      </c>
      <c r="S43" s="628">
        <f t="shared" si="9"/>
        <v>12970400</v>
      </c>
      <c r="T43" s="628">
        <f t="shared" si="9"/>
        <v>2119000</v>
      </c>
      <c r="U43" s="595">
        <f t="shared" si="2"/>
        <v>15089400</v>
      </c>
      <c r="V43" s="595">
        <f t="shared" si="3"/>
        <v>1794900</v>
      </c>
      <c r="W43" s="595"/>
      <c r="X43" s="595">
        <f t="shared" si="10"/>
        <v>-701000</v>
      </c>
      <c r="Y43" s="597">
        <f t="shared" si="0"/>
        <v>0.8936941418951333</v>
      </c>
    </row>
    <row r="44" spans="1:31" s="588" customFormat="1" ht="38.25" customHeight="1">
      <c r="A44" s="638">
        <v>7</v>
      </c>
      <c r="B44" s="639" t="s">
        <v>348</v>
      </c>
      <c r="C44" s="639" t="s">
        <v>348</v>
      </c>
      <c r="D44" s="640">
        <v>2</v>
      </c>
      <c r="E44" s="639" t="s">
        <v>361</v>
      </c>
      <c r="F44" s="639" t="s">
        <v>348</v>
      </c>
      <c r="G44" s="640">
        <v>5</v>
      </c>
      <c r="H44" s="640">
        <v>1</v>
      </c>
      <c r="I44" s="639" t="s">
        <v>350</v>
      </c>
      <c r="J44" s="639" t="s">
        <v>348</v>
      </c>
      <c r="K44" s="639" t="s">
        <v>348</v>
      </c>
      <c r="L44" s="639" t="s">
        <v>380</v>
      </c>
      <c r="M44" s="641">
        <v>1</v>
      </c>
      <c r="N44" s="642" t="s">
        <v>381</v>
      </c>
      <c r="O44" s="643">
        <f>'[1]SPJ FUNGSIONAL '!O50</f>
        <v>16884300</v>
      </c>
      <c r="P44" s="644">
        <f>S44</f>
        <v>12970400</v>
      </c>
      <c r="Q44" s="644">
        <v>1418000</v>
      </c>
      <c r="R44" s="644">
        <f t="shared" si="1"/>
        <v>14388400</v>
      </c>
      <c r="S44" s="644">
        <f>'[1]SPJ FUNGSIONAL '!Y50</f>
        <v>12970400</v>
      </c>
      <c r="T44" s="644">
        <f>'[1]SPJ FUNGSIONAL '!Z50</f>
        <v>2119000</v>
      </c>
      <c r="U44" s="644">
        <f t="shared" si="2"/>
        <v>15089400</v>
      </c>
      <c r="V44" s="644">
        <f t="shared" si="3"/>
        <v>1794900</v>
      </c>
      <c r="W44" s="644"/>
      <c r="X44" s="644">
        <f t="shared" si="10"/>
        <v>-701000</v>
      </c>
      <c r="Y44" s="646">
        <f t="shared" si="0"/>
        <v>0.8936941418951333</v>
      </c>
    </row>
    <row r="45" spans="1:31" s="588" customFormat="1" ht="25" customHeight="1">
      <c r="A45" s="638"/>
      <c r="B45" s="640"/>
      <c r="C45" s="640"/>
      <c r="D45" s="640"/>
      <c r="E45" s="640"/>
      <c r="F45" s="640"/>
      <c r="G45" s="640"/>
      <c r="H45" s="640"/>
      <c r="I45" s="640"/>
      <c r="J45" s="640"/>
      <c r="K45" s="640"/>
      <c r="L45" s="640"/>
      <c r="M45" s="641"/>
      <c r="N45" s="642"/>
      <c r="O45" s="643"/>
      <c r="P45" s="644"/>
      <c r="Q45" s="644"/>
      <c r="R45" s="644">
        <f t="shared" si="1"/>
        <v>0</v>
      </c>
      <c r="S45" s="644"/>
      <c r="T45" s="644"/>
      <c r="U45" s="644">
        <f t="shared" si="2"/>
        <v>0</v>
      </c>
      <c r="V45" s="644">
        <f t="shared" si="3"/>
        <v>0</v>
      </c>
      <c r="W45" s="644">
        <f t="shared" ref="W45:W75" si="11">R45-U45</f>
        <v>0</v>
      </c>
      <c r="X45" s="644">
        <f t="shared" si="10"/>
        <v>0</v>
      </c>
      <c r="Y45" s="646"/>
    </row>
    <row r="46" spans="1:31" s="588" customFormat="1" ht="36" customHeight="1">
      <c r="A46" s="629">
        <v>7</v>
      </c>
      <c r="B46" s="630" t="s">
        <v>348</v>
      </c>
      <c r="C46" s="630" t="s">
        <v>348</v>
      </c>
      <c r="D46" s="631">
        <v>2</v>
      </c>
      <c r="E46" s="630" t="s">
        <v>361</v>
      </c>
      <c r="F46" s="630" t="s">
        <v>382</v>
      </c>
      <c r="G46" s="631"/>
      <c r="H46" s="631"/>
      <c r="I46" s="631"/>
      <c r="J46" s="631"/>
      <c r="K46" s="631"/>
      <c r="L46" s="631"/>
      <c r="M46" s="632"/>
      <c r="N46" s="665" t="s">
        <v>383</v>
      </c>
      <c r="O46" s="634">
        <f>O47</f>
        <v>124049000</v>
      </c>
      <c r="P46" s="635">
        <f>P47</f>
        <v>102197385</v>
      </c>
      <c r="Q46" s="635">
        <f>Q47</f>
        <v>9781300</v>
      </c>
      <c r="R46" s="635">
        <f t="shared" si="1"/>
        <v>111978685</v>
      </c>
      <c r="S46" s="635">
        <f>S47</f>
        <v>105394285</v>
      </c>
      <c r="T46" s="635">
        <f>T47</f>
        <v>10881150</v>
      </c>
      <c r="U46" s="635">
        <f t="shared" si="2"/>
        <v>116275435</v>
      </c>
      <c r="V46" s="635">
        <f t="shared" si="3"/>
        <v>7773565</v>
      </c>
      <c r="W46" s="635">
        <f>W54</f>
        <v>44550</v>
      </c>
      <c r="X46" s="635">
        <f t="shared" si="10"/>
        <v>-4296750</v>
      </c>
      <c r="Y46" s="666">
        <f t="shared" si="0"/>
        <v>0.93733472256930728</v>
      </c>
    </row>
    <row r="47" spans="1:31" s="588" customFormat="1" ht="36" customHeight="1">
      <c r="A47" s="623">
        <v>7</v>
      </c>
      <c r="B47" s="637" t="s">
        <v>348</v>
      </c>
      <c r="C47" s="637" t="s">
        <v>348</v>
      </c>
      <c r="D47" s="624">
        <v>2</v>
      </c>
      <c r="E47" s="637" t="s">
        <v>361</v>
      </c>
      <c r="F47" s="637" t="s">
        <v>382</v>
      </c>
      <c r="G47" s="624">
        <v>5</v>
      </c>
      <c r="H47" s="624">
        <v>1</v>
      </c>
      <c r="I47" s="637" t="s">
        <v>350</v>
      </c>
      <c r="J47" s="624"/>
      <c r="K47" s="624"/>
      <c r="L47" s="624"/>
      <c r="M47" s="625"/>
      <c r="N47" s="667" t="s">
        <v>377</v>
      </c>
      <c r="O47" s="627">
        <f>O48+O57</f>
        <v>124049000</v>
      </c>
      <c r="P47" s="628">
        <f>P48+P57</f>
        <v>102197385</v>
      </c>
      <c r="Q47" s="628">
        <f>Q48+Q57</f>
        <v>9781300</v>
      </c>
      <c r="R47" s="595">
        <f t="shared" si="1"/>
        <v>111978685</v>
      </c>
      <c r="S47" s="628">
        <f>S48+S57</f>
        <v>105394285</v>
      </c>
      <c r="T47" s="628">
        <f>T48+T57</f>
        <v>10881150</v>
      </c>
      <c r="U47" s="595">
        <f t="shared" si="2"/>
        <v>116275435</v>
      </c>
      <c r="V47" s="595">
        <f t="shared" si="3"/>
        <v>7773565</v>
      </c>
      <c r="W47" s="595"/>
      <c r="X47" s="595">
        <f t="shared" si="10"/>
        <v>-4296750</v>
      </c>
      <c r="Y47" s="597">
        <f t="shared" si="0"/>
        <v>0.93733472256930728</v>
      </c>
    </row>
    <row r="48" spans="1:31" s="588" customFormat="1" ht="36" customHeight="1">
      <c r="A48" s="623">
        <v>7</v>
      </c>
      <c r="B48" s="637" t="s">
        <v>348</v>
      </c>
      <c r="C48" s="637" t="s">
        <v>348</v>
      </c>
      <c r="D48" s="624">
        <v>2</v>
      </c>
      <c r="E48" s="637" t="s">
        <v>361</v>
      </c>
      <c r="F48" s="637" t="s">
        <v>382</v>
      </c>
      <c r="G48" s="624">
        <v>5</v>
      </c>
      <c r="H48" s="624">
        <v>1</v>
      </c>
      <c r="I48" s="637" t="s">
        <v>350</v>
      </c>
      <c r="J48" s="637" t="s">
        <v>348</v>
      </c>
      <c r="K48" s="624"/>
      <c r="L48" s="624"/>
      <c r="M48" s="625"/>
      <c r="N48" s="667" t="s">
        <v>378</v>
      </c>
      <c r="O48" s="627">
        <f>O49</f>
        <v>119249000</v>
      </c>
      <c r="P48" s="628">
        <f>P49</f>
        <v>97797385</v>
      </c>
      <c r="Q48" s="628">
        <f>Q49</f>
        <v>9381300</v>
      </c>
      <c r="R48" s="595">
        <f t="shared" si="1"/>
        <v>107178685</v>
      </c>
      <c r="S48" s="628">
        <f>S49</f>
        <v>100994285</v>
      </c>
      <c r="T48" s="628">
        <f>T49</f>
        <v>10481150</v>
      </c>
      <c r="U48" s="595">
        <f t="shared" si="2"/>
        <v>111475435</v>
      </c>
      <c r="V48" s="595">
        <f t="shared" si="3"/>
        <v>7773565</v>
      </c>
      <c r="W48" s="595"/>
      <c r="X48" s="595">
        <f t="shared" si="10"/>
        <v>-4296750</v>
      </c>
      <c r="Y48" s="597">
        <f t="shared" si="0"/>
        <v>0.93481232547023452</v>
      </c>
    </row>
    <row r="49" spans="1:25" s="588" customFormat="1" ht="36" customHeight="1">
      <c r="A49" s="623">
        <v>7</v>
      </c>
      <c r="B49" s="637" t="s">
        <v>348</v>
      </c>
      <c r="C49" s="637" t="s">
        <v>348</v>
      </c>
      <c r="D49" s="624">
        <v>2</v>
      </c>
      <c r="E49" s="637" t="s">
        <v>361</v>
      </c>
      <c r="F49" s="637" t="s">
        <v>382</v>
      </c>
      <c r="G49" s="624">
        <v>5</v>
      </c>
      <c r="H49" s="624">
        <v>1</v>
      </c>
      <c r="I49" s="637" t="s">
        <v>350</v>
      </c>
      <c r="J49" s="637" t="s">
        <v>348</v>
      </c>
      <c r="K49" s="637" t="s">
        <v>348</v>
      </c>
      <c r="L49" s="624"/>
      <c r="M49" s="625"/>
      <c r="N49" s="667" t="s">
        <v>379</v>
      </c>
      <c r="O49" s="627">
        <f>SUM(O50:O56)</f>
        <v>119249000</v>
      </c>
      <c r="P49" s="628">
        <f>SUM(P50:P55)</f>
        <v>97797385</v>
      </c>
      <c r="Q49" s="628">
        <f>SUM(Q50:Q55)</f>
        <v>9381300</v>
      </c>
      <c r="R49" s="595">
        <f t="shared" si="1"/>
        <v>107178685</v>
      </c>
      <c r="S49" s="628">
        <f>SUM(S50:S55)</f>
        <v>100994285</v>
      </c>
      <c r="T49" s="628">
        <f>SUM(T50:T55)</f>
        <v>10481150</v>
      </c>
      <c r="U49" s="595">
        <f t="shared" si="2"/>
        <v>111475435</v>
      </c>
      <c r="V49" s="595">
        <f t="shared" si="3"/>
        <v>7773565</v>
      </c>
      <c r="W49" s="595"/>
      <c r="X49" s="595">
        <f t="shared" si="10"/>
        <v>-4296750</v>
      </c>
      <c r="Y49" s="597">
        <f t="shared" si="0"/>
        <v>0.93481232547023452</v>
      </c>
    </row>
    <row r="50" spans="1:25" s="588" customFormat="1" ht="36" customHeight="1">
      <c r="A50" s="638">
        <v>7</v>
      </c>
      <c r="B50" s="639" t="s">
        <v>348</v>
      </c>
      <c r="C50" s="639" t="s">
        <v>348</v>
      </c>
      <c r="D50" s="640">
        <v>2</v>
      </c>
      <c r="E50" s="639" t="s">
        <v>361</v>
      </c>
      <c r="F50" s="639" t="s">
        <v>382</v>
      </c>
      <c r="G50" s="640">
        <v>5</v>
      </c>
      <c r="H50" s="640">
        <v>1</v>
      </c>
      <c r="I50" s="639" t="s">
        <v>350</v>
      </c>
      <c r="J50" s="639" t="s">
        <v>348</v>
      </c>
      <c r="K50" s="639" t="s">
        <v>348</v>
      </c>
      <c r="L50" s="639" t="s">
        <v>384</v>
      </c>
      <c r="M50" s="641">
        <v>4</v>
      </c>
      <c r="N50" s="642" t="str">
        <f>'[1]SPJ FUNGSIONAL '!N56</f>
        <v>Belanja Alat/Bahan Untuk Kegiatan Kantor-ATK</v>
      </c>
      <c r="O50" s="643">
        <f>'[1]SPJ FUNGSIONAL '!O56</f>
        <v>11288800</v>
      </c>
      <c r="P50" s="644">
        <f>'[2]LRA SP2D'!$R$50</f>
        <v>7663840</v>
      </c>
      <c r="Q50" s="644">
        <v>1915800</v>
      </c>
      <c r="R50" s="644">
        <f t="shared" si="1"/>
        <v>9579640</v>
      </c>
      <c r="S50" s="644">
        <f>'[1]SPJ FUNGSIONAL '!Y56</f>
        <v>8408240</v>
      </c>
      <c r="T50" s="644">
        <f>'[1]SPJ FUNGSIONAL '!Z56</f>
        <v>1697200</v>
      </c>
      <c r="U50" s="644">
        <f t="shared" si="2"/>
        <v>10105440</v>
      </c>
      <c r="V50" s="644">
        <f t="shared" si="3"/>
        <v>1183360</v>
      </c>
      <c r="W50" s="644"/>
      <c r="X50" s="644">
        <f t="shared" si="10"/>
        <v>-525800</v>
      </c>
      <c r="Y50" s="646">
        <f t="shared" si="0"/>
        <v>0.89517397774785623</v>
      </c>
    </row>
    <row r="51" spans="1:25" s="588" customFormat="1" ht="39.75" customHeight="1">
      <c r="A51" s="638">
        <v>7</v>
      </c>
      <c r="B51" s="639" t="s">
        <v>348</v>
      </c>
      <c r="C51" s="639" t="s">
        <v>348</v>
      </c>
      <c r="D51" s="640">
        <v>2</v>
      </c>
      <c r="E51" s="639" t="s">
        <v>361</v>
      </c>
      <c r="F51" s="639" t="s">
        <v>382</v>
      </c>
      <c r="G51" s="640">
        <v>5</v>
      </c>
      <c r="H51" s="640">
        <v>1</v>
      </c>
      <c r="I51" s="639" t="s">
        <v>350</v>
      </c>
      <c r="J51" s="639" t="s">
        <v>348</v>
      </c>
      <c r="K51" s="639" t="s">
        <v>348</v>
      </c>
      <c r="L51" s="639" t="s">
        <v>384</v>
      </c>
      <c r="M51" s="641">
        <v>5</v>
      </c>
      <c r="N51" s="663" t="str">
        <f>'[1]SPJ FUNGSIONAL '!N57</f>
        <v>Belanja Alat/Bahan Untuk Kegiatan Kantor-Kertas dan Cover</v>
      </c>
      <c r="O51" s="643">
        <f>'[1]SPJ FUNGSIONAL '!O57</f>
        <v>43091100</v>
      </c>
      <c r="P51" s="644">
        <f>'[2]LRA SP2D'!$R$51</f>
        <v>36863200</v>
      </c>
      <c r="Q51" s="644">
        <v>2562000</v>
      </c>
      <c r="R51" s="644">
        <f t="shared" si="1"/>
        <v>39425200</v>
      </c>
      <c r="S51" s="644">
        <f>'[1]SPJ FUNGSIONAL '!Y57</f>
        <v>37883200</v>
      </c>
      <c r="T51" s="644">
        <f>'[1]SPJ FUNGSIONAL '!Z57</f>
        <v>2288000</v>
      </c>
      <c r="U51" s="644">
        <f t="shared" si="2"/>
        <v>40171200</v>
      </c>
      <c r="V51" s="644">
        <f t="shared" si="3"/>
        <v>2919900</v>
      </c>
      <c r="W51" s="644"/>
      <c r="X51" s="644">
        <f t="shared" si="10"/>
        <v>-746000</v>
      </c>
      <c r="Y51" s="646">
        <f t="shared" si="0"/>
        <v>0.93223890780230723</v>
      </c>
    </row>
    <row r="52" spans="1:25" s="588" customFormat="1" ht="41.25" customHeight="1">
      <c r="A52" s="638">
        <v>7</v>
      </c>
      <c r="B52" s="639" t="s">
        <v>348</v>
      </c>
      <c r="C52" s="639" t="s">
        <v>348</v>
      </c>
      <c r="D52" s="640">
        <v>2</v>
      </c>
      <c r="E52" s="639" t="s">
        <v>361</v>
      </c>
      <c r="F52" s="639" t="s">
        <v>382</v>
      </c>
      <c r="G52" s="640">
        <v>5</v>
      </c>
      <c r="H52" s="640">
        <v>1</v>
      </c>
      <c r="I52" s="639" t="s">
        <v>350</v>
      </c>
      <c r="J52" s="639" t="s">
        <v>348</v>
      </c>
      <c r="K52" s="639" t="s">
        <v>348</v>
      </c>
      <c r="L52" s="639" t="s">
        <v>384</v>
      </c>
      <c r="M52" s="641">
        <v>6</v>
      </c>
      <c r="N52" s="663" t="str">
        <f>'[1]SPJ FUNGSIONAL '!N58</f>
        <v>Belanja Alat/Bahan Untuk Kegiatan Kantor-Bahan Cetak</v>
      </c>
      <c r="O52" s="643">
        <f>'[1]SPJ FUNGSIONAL '!O58</f>
        <v>0</v>
      </c>
      <c r="P52" s="644">
        <f>'[2]LRA SP2D'!$R$52</f>
        <v>525750</v>
      </c>
      <c r="Q52" s="644"/>
      <c r="R52" s="644">
        <f t="shared" si="1"/>
        <v>525750</v>
      </c>
      <c r="S52" s="644">
        <v>525750</v>
      </c>
      <c r="T52" s="644"/>
      <c r="U52" s="644">
        <f t="shared" si="2"/>
        <v>525750</v>
      </c>
      <c r="V52" s="644">
        <f t="shared" si="3"/>
        <v>-525750</v>
      </c>
      <c r="W52" s="644"/>
      <c r="X52" s="644">
        <f t="shared" si="10"/>
        <v>0</v>
      </c>
      <c r="Y52" s="646">
        <v>0</v>
      </c>
    </row>
    <row r="53" spans="1:25" s="588" customFormat="1" ht="42" customHeight="1">
      <c r="A53" s="638">
        <v>7</v>
      </c>
      <c r="B53" s="639" t="s">
        <v>348</v>
      </c>
      <c r="C53" s="639" t="s">
        <v>348</v>
      </c>
      <c r="D53" s="640">
        <v>2</v>
      </c>
      <c r="E53" s="639" t="s">
        <v>361</v>
      </c>
      <c r="F53" s="639" t="s">
        <v>382</v>
      </c>
      <c r="G53" s="640">
        <v>5</v>
      </c>
      <c r="H53" s="640">
        <v>1</v>
      </c>
      <c r="I53" s="639" t="s">
        <v>350</v>
      </c>
      <c r="J53" s="639" t="s">
        <v>348</v>
      </c>
      <c r="K53" s="639" t="s">
        <v>348</v>
      </c>
      <c r="L53" s="639" t="s">
        <v>384</v>
      </c>
      <c r="M53" s="641">
        <v>9</v>
      </c>
      <c r="N53" s="663" t="str">
        <f>'[1]SPJ FUNGSIONAL '!N59</f>
        <v>Belanja Alat/Bahan Untuk Kegiatan Kantor-Bahan Komputer</v>
      </c>
      <c r="O53" s="643">
        <f>'[1]SPJ FUNGSIONAL '!O59</f>
        <v>32328300</v>
      </c>
      <c r="P53" s="644">
        <f>'[2]LRA SP2D'!$R$53</f>
        <v>24836600</v>
      </c>
      <c r="Q53" s="644">
        <v>3637000</v>
      </c>
      <c r="R53" s="644">
        <f t="shared" si="1"/>
        <v>28473600</v>
      </c>
      <c r="S53" s="644">
        <f>'[1]SPJ FUNGSIONAL '!Y59</f>
        <v>25912600</v>
      </c>
      <c r="T53" s="644">
        <f>'[1]SPJ FUNGSIONAL '!Z59</f>
        <v>4677000</v>
      </c>
      <c r="U53" s="644">
        <f t="shared" si="2"/>
        <v>30589600</v>
      </c>
      <c r="V53" s="644">
        <f t="shared" si="3"/>
        <v>1738700</v>
      </c>
      <c r="W53" s="644"/>
      <c r="X53" s="644">
        <f t="shared" si="10"/>
        <v>-2116000</v>
      </c>
      <c r="Y53" s="646">
        <f t="shared" si="0"/>
        <v>0.94621740085312245</v>
      </c>
    </row>
    <row r="54" spans="1:25" s="588" customFormat="1" ht="39.75" customHeight="1">
      <c r="A54" s="638">
        <v>7</v>
      </c>
      <c r="B54" s="639" t="s">
        <v>348</v>
      </c>
      <c r="C54" s="639" t="s">
        <v>348</v>
      </c>
      <c r="D54" s="640">
        <v>2</v>
      </c>
      <c r="E54" s="639" t="s">
        <v>361</v>
      </c>
      <c r="F54" s="639" t="s">
        <v>382</v>
      </c>
      <c r="G54" s="640">
        <v>5</v>
      </c>
      <c r="H54" s="640">
        <v>1</v>
      </c>
      <c r="I54" s="639" t="s">
        <v>350</v>
      </c>
      <c r="J54" s="639" t="s">
        <v>348</v>
      </c>
      <c r="K54" s="639" t="s">
        <v>348</v>
      </c>
      <c r="L54" s="639" t="s">
        <v>380</v>
      </c>
      <c r="M54" s="641">
        <v>0</v>
      </c>
      <c r="N54" s="663" t="str">
        <f>'[1]SPJ FUNGSIONAL '!N60</f>
        <v xml:space="preserve">Belanja Alat/Bahan Untuk Kegiatan Kantor-Perabot Kantor </v>
      </c>
      <c r="O54" s="643">
        <f>'[1]SPJ FUNGSIONAL '!O60</f>
        <v>10726200</v>
      </c>
      <c r="P54" s="644">
        <f>'[2]LRA SP2D'!$R$54</f>
        <v>9931900</v>
      </c>
      <c r="Q54" s="644"/>
      <c r="R54" s="644">
        <f t="shared" si="1"/>
        <v>9931900</v>
      </c>
      <c r="S54" s="644">
        <f>'[1]SPJ FUNGSIONAL '!Y60</f>
        <v>9931900</v>
      </c>
      <c r="T54" s="644">
        <v>-44550</v>
      </c>
      <c r="U54" s="644">
        <f t="shared" si="2"/>
        <v>9887350</v>
      </c>
      <c r="V54" s="644">
        <f t="shared" si="3"/>
        <v>838850</v>
      </c>
      <c r="W54" s="644">
        <f>R54-U54</f>
        <v>44550</v>
      </c>
      <c r="X54" s="644"/>
      <c r="Y54" s="646">
        <f t="shared" si="0"/>
        <v>0.92179429807387514</v>
      </c>
    </row>
    <row r="55" spans="1:25" s="588" customFormat="1" ht="44.25" customHeight="1">
      <c r="A55" s="638">
        <v>7</v>
      </c>
      <c r="B55" s="639" t="s">
        <v>348</v>
      </c>
      <c r="C55" s="639" t="s">
        <v>348</v>
      </c>
      <c r="D55" s="640">
        <v>2</v>
      </c>
      <c r="E55" s="639" t="s">
        <v>361</v>
      </c>
      <c r="F55" s="639" t="s">
        <v>382</v>
      </c>
      <c r="G55" s="640">
        <v>5</v>
      </c>
      <c r="H55" s="640">
        <v>1</v>
      </c>
      <c r="I55" s="639" t="s">
        <v>350</v>
      </c>
      <c r="J55" s="639" t="s">
        <v>348</v>
      </c>
      <c r="K55" s="639" t="s">
        <v>348</v>
      </c>
      <c r="L55" s="639" t="s">
        <v>380</v>
      </c>
      <c r="M55" s="641">
        <v>6</v>
      </c>
      <c r="N55" s="663" t="str">
        <f>'[1]SPJ FUNGSIONAL '!N61</f>
        <v xml:space="preserve">Belanja Alat/Bahan Untuk Kegiatan Kantor-Alat/Bahan untuk Kegiatan Kantor Lainnya </v>
      </c>
      <c r="O55" s="643">
        <f>'[1]SPJ FUNGSIONAL '!O61</f>
        <v>21814600</v>
      </c>
      <c r="P55" s="644">
        <f>'[2]LRA SP2D'!$R$55</f>
        <v>17976095</v>
      </c>
      <c r="Q55" s="644">
        <v>1266500</v>
      </c>
      <c r="R55" s="644">
        <f t="shared" si="1"/>
        <v>19242595</v>
      </c>
      <c r="S55" s="644">
        <f>'[1]SPJ FUNGSIONAL '!Y61</f>
        <v>18332595</v>
      </c>
      <c r="T55" s="644">
        <f>'[1]SPJ FUNGSIONAL '!Z61</f>
        <v>1863500</v>
      </c>
      <c r="U55" s="644">
        <f t="shared" si="2"/>
        <v>20196095</v>
      </c>
      <c r="V55" s="644">
        <f t="shared" si="3"/>
        <v>1618505</v>
      </c>
      <c r="W55" s="644"/>
      <c r="X55" s="644">
        <f t="shared" si="10"/>
        <v>-953500</v>
      </c>
      <c r="Y55" s="646">
        <f t="shared" si="0"/>
        <v>0.92580634070759948</v>
      </c>
    </row>
    <row r="56" spans="1:25" s="588" customFormat="1" ht="36" customHeight="1">
      <c r="A56" s="638">
        <v>7</v>
      </c>
      <c r="B56" s="639" t="s">
        <v>348</v>
      </c>
      <c r="C56" s="639" t="s">
        <v>348</v>
      </c>
      <c r="D56" s="640">
        <v>2</v>
      </c>
      <c r="E56" s="639" t="s">
        <v>361</v>
      </c>
      <c r="F56" s="639" t="s">
        <v>382</v>
      </c>
      <c r="G56" s="640">
        <v>5</v>
      </c>
      <c r="H56" s="640">
        <v>1</v>
      </c>
      <c r="I56" s="639" t="s">
        <v>350</v>
      </c>
      <c r="J56" s="639" t="s">
        <v>348</v>
      </c>
      <c r="K56" s="639" t="s">
        <v>348</v>
      </c>
      <c r="L56" s="639" t="s">
        <v>481</v>
      </c>
      <c r="M56" s="641">
        <v>3</v>
      </c>
      <c r="N56" s="663" t="str">
        <f>'[1]SPJ FUNGSIONAL '!N62</f>
        <v>Belanja Natura dan Pakan-Natura</v>
      </c>
      <c r="O56" s="643">
        <f>'[1]SPJ FUNGSIONAL '!O62</f>
        <v>0</v>
      </c>
      <c r="P56" s="644"/>
      <c r="Q56" s="644"/>
      <c r="R56" s="644"/>
      <c r="S56" s="644"/>
      <c r="T56" s="644"/>
      <c r="U56" s="644"/>
      <c r="V56" s="644">
        <f t="shared" si="3"/>
        <v>0</v>
      </c>
      <c r="W56" s="644"/>
      <c r="X56" s="644"/>
      <c r="Y56" s="646">
        <v>0</v>
      </c>
    </row>
    <row r="57" spans="1:25" s="588" customFormat="1" ht="36" customHeight="1">
      <c r="A57" s="623">
        <v>7</v>
      </c>
      <c r="B57" s="637" t="s">
        <v>348</v>
      </c>
      <c r="C57" s="637" t="s">
        <v>348</v>
      </c>
      <c r="D57" s="624">
        <v>2</v>
      </c>
      <c r="E57" s="637" t="s">
        <v>361</v>
      </c>
      <c r="F57" s="637" t="s">
        <v>382</v>
      </c>
      <c r="G57" s="624">
        <v>5</v>
      </c>
      <c r="H57" s="624">
        <v>1</v>
      </c>
      <c r="I57" s="637" t="s">
        <v>350</v>
      </c>
      <c r="J57" s="637" t="s">
        <v>350</v>
      </c>
      <c r="K57" s="624"/>
      <c r="L57" s="624"/>
      <c r="M57" s="625"/>
      <c r="N57" s="667" t="s">
        <v>391</v>
      </c>
      <c r="O57" s="627">
        <f t="shared" ref="O57:Q58" si="12">O58</f>
        <v>4800000</v>
      </c>
      <c r="P57" s="595">
        <f t="shared" si="12"/>
        <v>4400000</v>
      </c>
      <c r="Q57" s="595">
        <f t="shared" si="12"/>
        <v>400000</v>
      </c>
      <c r="R57" s="595">
        <f t="shared" si="1"/>
        <v>4800000</v>
      </c>
      <c r="S57" s="644">
        <f>'[1]SPJ FUNGSIONAL '!Y63</f>
        <v>4400000</v>
      </c>
      <c r="T57" s="595">
        <f>T58</f>
        <v>400000</v>
      </c>
      <c r="U57" s="595">
        <f t="shared" si="2"/>
        <v>4800000</v>
      </c>
      <c r="V57" s="595">
        <f t="shared" si="3"/>
        <v>0</v>
      </c>
      <c r="W57" s="595"/>
      <c r="X57" s="595">
        <f t="shared" si="10"/>
        <v>0</v>
      </c>
      <c r="Y57" s="597">
        <f t="shared" si="0"/>
        <v>1</v>
      </c>
    </row>
    <row r="58" spans="1:25" s="588" customFormat="1" ht="36" customHeight="1">
      <c r="A58" s="623">
        <v>7</v>
      </c>
      <c r="B58" s="637" t="s">
        <v>348</v>
      </c>
      <c r="C58" s="637" t="s">
        <v>348</v>
      </c>
      <c r="D58" s="624">
        <v>2</v>
      </c>
      <c r="E58" s="637" t="s">
        <v>361</v>
      </c>
      <c r="F58" s="637" t="s">
        <v>382</v>
      </c>
      <c r="G58" s="624">
        <v>5</v>
      </c>
      <c r="H58" s="624">
        <v>1</v>
      </c>
      <c r="I58" s="637" t="s">
        <v>350</v>
      </c>
      <c r="J58" s="637" t="s">
        <v>350</v>
      </c>
      <c r="K58" s="637" t="s">
        <v>348</v>
      </c>
      <c r="L58" s="640"/>
      <c r="M58" s="641"/>
      <c r="N58" s="668" t="s">
        <v>392</v>
      </c>
      <c r="O58" s="643">
        <f t="shared" si="12"/>
        <v>4800000</v>
      </c>
      <c r="P58" s="595">
        <f t="shared" si="12"/>
        <v>4400000</v>
      </c>
      <c r="Q58" s="595">
        <f t="shared" si="12"/>
        <v>400000</v>
      </c>
      <c r="R58" s="595">
        <f t="shared" si="1"/>
        <v>4800000</v>
      </c>
      <c r="S58" s="595">
        <f>'[1]SPJ FUNGSIONAL '!Y64</f>
        <v>4400000</v>
      </c>
      <c r="T58" s="595">
        <f>T59</f>
        <v>400000</v>
      </c>
      <c r="U58" s="595">
        <f t="shared" si="2"/>
        <v>4800000</v>
      </c>
      <c r="V58" s="595">
        <f t="shared" si="3"/>
        <v>0</v>
      </c>
      <c r="W58" s="595"/>
      <c r="X58" s="595">
        <f t="shared" si="10"/>
        <v>0</v>
      </c>
      <c r="Y58" s="597">
        <f t="shared" si="0"/>
        <v>1</v>
      </c>
    </row>
    <row r="59" spans="1:25" s="588" customFormat="1" ht="36" customHeight="1">
      <c r="A59" s="638">
        <v>7</v>
      </c>
      <c r="B59" s="639" t="s">
        <v>348</v>
      </c>
      <c r="C59" s="639" t="s">
        <v>348</v>
      </c>
      <c r="D59" s="640">
        <v>2</v>
      </c>
      <c r="E59" s="639" t="s">
        <v>361</v>
      </c>
      <c r="F59" s="639" t="s">
        <v>382</v>
      </c>
      <c r="G59" s="640">
        <v>5</v>
      </c>
      <c r="H59" s="640">
        <v>1</v>
      </c>
      <c r="I59" s="639" t="s">
        <v>350</v>
      </c>
      <c r="J59" s="639" t="s">
        <v>350</v>
      </c>
      <c r="K59" s="639" t="s">
        <v>348</v>
      </c>
      <c r="L59" s="639" t="s">
        <v>393</v>
      </c>
      <c r="M59" s="641">
        <v>2</v>
      </c>
      <c r="N59" s="642" t="s">
        <v>394</v>
      </c>
      <c r="O59" s="643">
        <f>'[1]SPJ FUNGSIONAL '!O65</f>
        <v>4800000</v>
      </c>
      <c r="P59" s="644">
        <f>'[2]LRA SP2D'!$R$59</f>
        <v>4400000</v>
      </c>
      <c r="Q59" s="644">
        <v>400000</v>
      </c>
      <c r="R59" s="644">
        <f t="shared" si="1"/>
        <v>4800000</v>
      </c>
      <c r="S59" s="644">
        <f>'[1]SPJ FUNGSIONAL '!Y65</f>
        <v>4400000</v>
      </c>
      <c r="T59" s="644">
        <f>'[1]SPJ FUNGSIONAL '!Z65</f>
        <v>400000</v>
      </c>
      <c r="U59" s="644">
        <f t="shared" si="2"/>
        <v>4800000</v>
      </c>
      <c r="V59" s="644">
        <f t="shared" si="3"/>
        <v>0</v>
      </c>
      <c r="W59" s="644"/>
      <c r="X59" s="644">
        <f>R59-U59</f>
        <v>0</v>
      </c>
      <c r="Y59" s="646">
        <f t="shared" si="0"/>
        <v>1</v>
      </c>
    </row>
    <row r="60" spans="1:25" s="588" customFormat="1" ht="25" customHeight="1">
      <c r="A60" s="638"/>
      <c r="B60" s="640"/>
      <c r="C60" s="640"/>
      <c r="D60" s="640"/>
      <c r="E60" s="640"/>
      <c r="F60" s="640"/>
      <c r="G60" s="640"/>
      <c r="H60" s="640"/>
      <c r="I60" s="640"/>
      <c r="J60" s="640"/>
      <c r="K60" s="640"/>
      <c r="L60" s="640"/>
      <c r="M60" s="641"/>
      <c r="N60" s="642"/>
      <c r="O60" s="643"/>
      <c r="P60" s="644"/>
      <c r="Q60" s="644"/>
      <c r="R60" s="644">
        <f t="shared" si="1"/>
        <v>0</v>
      </c>
      <c r="S60" s="644"/>
      <c r="T60" s="644"/>
      <c r="U60" s="644"/>
      <c r="V60" s="644">
        <f t="shared" si="3"/>
        <v>0</v>
      </c>
      <c r="W60" s="644">
        <f t="shared" si="11"/>
        <v>0</v>
      </c>
      <c r="X60" s="644">
        <f t="shared" si="10"/>
        <v>0</v>
      </c>
      <c r="Y60" s="646"/>
    </row>
    <row r="61" spans="1:25" s="588" customFormat="1" ht="34.5" customHeight="1">
      <c r="A61" s="629">
        <v>7</v>
      </c>
      <c r="B61" s="630" t="s">
        <v>348</v>
      </c>
      <c r="C61" s="630" t="s">
        <v>348</v>
      </c>
      <c r="D61" s="631">
        <v>2</v>
      </c>
      <c r="E61" s="630" t="s">
        <v>361</v>
      </c>
      <c r="F61" s="630" t="s">
        <v>359</v>
      </c>
      <c r="G61" s="631"/>
      <c r="H61" s="631"/>
      <c r="I61" s="631"/>
      <c r="J61" s="631"/>
      <c r="K61" s="631"/>
      <c r="L61" s="631"/>
      <c r="M61" s="632"/>
      <c r="N61" s="665" t="s">
        <v>395</v>
      </c>
      <c r="O61" s="634">
        <f>O62</f>
        <v>33230650</v>
      </c>
      <c r="P61" s="635">
        <f t="shared" ref="P61:Q64" si="13">P62</f>
        <v>13683800</v>
      </c>
      <c r="Q61" s="635">
        <f t="shared" si="13"/>
        <v>7030200</v>
      </c>
      <c r="R61" s="635">
        <f t="shared" si="1"/>
        <v>20714000</v>
      </c>
      <c r="S61" s="635">
        <f t="shared" ref="S61:T64" si="14">S62</f>
        <v>15000650</v>
      </c>
      <c r="T61" s="635">
        <f t="shared" si="14"/>
        <v>9316350</v>
      </c>
      <c r="U61" s="635">
        <f t="shared" si="2"/>
        <v>24317000</v>
      </c>
      <c r="V61" s="635">
        <f t="shared" si="3"/>
        <v>8913650</v>
      </c>
      <c r="W61" s="635"/>
      <c r="X61" s="635">
        <f t="shared" si="10"/>
        <v>-3603000</v>
      </c>
      <c r="Y61" s="666">
        <f t="shared" si="0"/>
        <v>0.73176419961691996</v>
      </c>
    </row>
    <row r="62" spans="1:25" s="588" customFormat="1" ht="34.5" customHeight="1">
      <c r="A62" s="623">
        <v>7</v>
      </c>
      <c r="B62" s="637" t="s">
        <v>348</v>
      </c>
      <c r="C62" s="637" t="s">
        <v>348</v>
      </c>
      <c r="D62" s="624">
        <v>2</v>
      </c>
      <c r="E62" s="637" t="s">
        <v>361</v>
      </c>
      <c r="F62" s="637" t="s">
        <v>359</v>
      </c>
      <c r="G62" s="624">
        <v>5</v>
      </c>
      <c r="H62" s="624">
        <v>1</v>
      </c>
      <c r="I62" s="637" t="s">
        <v>350</v>
      </c>
      <c r="J62" s="624"/>
      <c r="K62" s="624"/>
      <c r="L62" s="624"/>
      <c r="M62" s="625"/>
      <c r="N62" s="667" t="s">
        <v>377</v>
      </c>
      <c r="O62" s="627">
        <f>O63</f>
        <v>33230650</v>
      </c>
      <c r="P62" s="628">
        <f t="shared" si="13"/>
        <v>13683800</v>
      </c>
      <c r="Q62" s="628">
        <f t="shared" si="13"/>
        <v>7030200</v>
      </c>
      <c r="R62" s="595">
        <f t="shared" si="1"/>
        <v>20714000</v>
      </c>
      <c r="S62" s="628">
        <f t="shared" si="14"/>
        <v>15000650</v>
      </c>
      <c r="T62" s="628">
        <f t="shared" si="14"/>
        <v>9316350</v>
      </c>
      <c r="U62" s="595">
        <f t="shared" si="2"/>
        <v>24317000</v>
      </c>
      <c r="V62" s="595">
        <f t="shared" si="3"/>
        <v>8913650</v>
      </c>
      <c r="W62" s="595"/>
      <c r="X62" s="595">
        <f t="shared" si="10"/>
        <v>-3603000</v>
      </c>
      <c r="Y62" s="597">
        <f t="shared" si="0"/>
        <v>0.73176419961691996</v>
      </c>
    </row>
    <row r="63" spans="1:25" s="588" customFormat="1" ht="34.5" customHeight="1">
      <c r="A63" s="623">
        <v>7</v>
      </c>
      <c r="B63" s="637" t="s">
        <v>348</v>
      </c>
      <c r="C63" s="637" t="s">
        <v>348</v>
      </c>
      <c r="D63" s="624">
        <v>2</v>
      </c>
      <c r="E63" s="637" t="s">
        <v>361</v>
      </c>
      <c r="F63" s="637" t="s">
        <v>359</v>
      </c>
      <c r="G63" s="624">
        <v>5</v>
      </c>
      <c r="H63" s="624">
        <v>1</v>
      </c>
      <c r="I63" s="637" t="s">
        <v>350</v>
      </c>
      <c r="J63" s="637" t="s">
        <v>348</v>
      </c>
      <c r="K63" s="624"/>
      <c r="L63" s="624"/>
      <c r="M63" s="625"/>
      <c r="N63" s="667" t="s">
        <v>378</v>
      </c>
      <c r="O63" s="627">
        <f>O64</f>
        <v>33230650</v>
      </c>
      <c r="P63" s="628">
        <f t="shared" si="13"/>
        <v>13683800</v>
      </c>
      <c r="Q63" s="628">
        <f t="shared" si="13"/>
        <v>7030200</v>
      </c>
      <c r="R63" s="595">
        <f t="shared" si="1"/>
        <v>20714000</v>
      </c>
      <c r="S63" s="628">
        <f t="shared" si="14"/>
        <v>15000650</v>
      </c>
      <c r="T63" s="628">
        <f t="shared" si="14"/>
        <v>9316350</v>
      </c>
      <c r="U63" s="595">
        <f t="shared" si="2"/>
        <v>24317000</v>
      </c>
      <c r="V63" s="595">
        <f t="shared" si="3"/>
        <v>8913650</v>
      </c>
      <c r="W63" s="595"/>
      <c r="X63" s="595">
        <f t="shared" si="10"/>
        <v>-3603000</v>
      </c>
      <c r="Y63" s="597">
        <f t="shared" si="0"/>
        <v>0.73176419961691996</v>
      </c>
    </row>
    <row r="64" spans="1:25" s="588" customFormat="1" ht="34.5" customHeight="1">
      <c r="A64" s="623">
        <v>7</v>
      </c>
      <c r="B64" s="637" t="s">
        <v>348</v>
      </c>
      <c r="C64" s="637" t="s">
        <v>348</v>
      </c>
      <c r="D64" s="624">
        <v>2</v>
      </c>
      <c r="E64" s="637" t="s">
        <v>361</v>
      </c>
      <c r="F64" s="637" t="s">
        <v>359</v>
      </c>
      <c r="G64" s="624">
        <v>5</v>
      </c>
      <c r="H64" s="624">
        <v>1</v>
      </c>
      <c r="I64" s="637" t="s">
        <v>350</v>
      </c>
      <c r="J64" s="637" t="s">
        <v>348</v>
      </c>
      <c r="K64" s="637" t="s">
        <v>348</v>
      </c>
      <c r="L64" s="624"/>
      <c r="M64" s="625"/>
      <c r="N64" s="667" t="s">
        <v>379</v>
      </c>
      <c r="O64" s="627">
        <f>O65</f>
        <v>33230650</v>
      </c>
      <c r="P64" s="628">
        <f t="shared" si="13"/>
        <v>13683800</v>
      </c>
      <c r="Q64" s="628">
        <f t="shared" si="13"/>
        <v>7030200</v>
      </c>
      <c r="R64" s="595">
        <f t="shared" si="1"/>
        <v>20714000</v>
      </c>
      <c r="S64" s="628">
        <f t="shared" si="14"/>
        <v>15000650</v>
      </c>
      <c r="T64" s="628">
        <f t="shared" si="14"/>
        <v>9316350</v>
      </c>
      <c r="U64" s="595">
        <f t="shared" si="2"/>
        <v>24317000</v>
      </c>
      <c r="V64" s="595">
        <f t="shared" si="3"/>
        <v>8913650</v>
      </c>
      <c r="W64" s="595"/>
      <c r="X64" s="595">
        <f t="shared" si="10"/>
        <v>-3603000</v>
      </c>
      <c r="Y64" s="597">
        <f t="shared" si="0"/>
        <v>0.73176419961691996</v>
      </c>
    </row>
    <row r="65" spans="1:31" s="588" customFormat="1" ht="40.5" customHeight="1">
      <c r="A65" s="638">
        <v>7</v>
      </c>
      <c r="B65" s="639" t="s">
        <v>348</v>
      </c>
      <c r="C65" s="639" t="s">
        <v>348</v>
      </c>
      <c r="D65" s="640">
        <v>2</v>
      </c>
      <c r="E65" s="639" t="s">
        <v>361</v>
      </c>
      <c r="F65" s="639" t="s">
        <v>359</v>
      </c>
      <c r="G65" s="640">
        <v>5</v>
      </c>
      <c r="H65" s="640">
        <v>1</v>
      </c>
      <c r="I65" s="639" t="s">
        <v>350</v>
      </c>
      <c r="J65" s="639" t="s">
        <v>348</v>
      </c>
      <c r="K65" s="639" t="s">
        <v>348</v>
      </c>
      <c r="L65" s="639" t="s">
        <v>384</v>
      </c>
      <c r="M65" s="641">
        <v>6</v>
      </c>
      <c r="N65" s="663" t="str">
        <f>'[1]SPJ FUNGSIONAL '!N71</f>
        <v>Belanja Alat/Bahan Untuk Kegiatan Kantor-Bahan Cetak</v>
      </c>
      <c r="O65" s="643">
        <f>'[1]SPJ FUNGSIONAL '!O71</f>
        <v>33230650</v>
      </c>
      <c r="P65" s="644">
        <f>'[2]LRA SP2D'!$R$65</f>
        <v>13683800</v>
      </c>
      <c r="Q65" s="644">
        <v>7030200</v>
      </c>
      <c r="R65" s="644">
        <f t="shared" si="1"/>
        <v>20714000</v>
      </c>
      <c r="S65" s="644">
        <f>'[1]SPJ FUNGSIONAL '!Y71</f>
        <v>15000650</v>
      </c>
      <c r="T65" s="644">
        <f>'[1]SPJ FUNGSIONAL '!Z71-525750</f>
        <v>9316350</v>
      </c>
      <c r="U65" s="644">
        <f t="shared" si="2"/>
        <v>24317000</v>
      </c>
      <c r="V65" s="644">
        <f t="shared" si="3"/>
        <v>8913650</v>
      </c>
      <c r="W65" s="644"/>
      <c r="X65" s="644">
        <f t="shared" si="10"/>
        <v>-3603000</v>
      </c>
      <c r="Y65" s="646">
        <f t="shared" si="0"/>
        <v>0.73176419961691996</v>
      </c>
      <c r="AE65" s="588">
        <v>4128750</v>
      </c>
    </row>
    <row r="66" spans="1:31" s="588" customFormat="1" ht="25" customHeight="1">
      <c r="A66" s="669"/>
      <c r="B66" s="660"/>
      <c r="C66" s="660"/>
      <c r="D66" s="660"/>
      <c r="E66" s="660"/>
      <c r="F66" s="660"/>
      <c r="G66" s="660"/>
      <c r="H66" s="660"/>
      <c r="I66" s="660"/>
      <c r="J66" s="660"/>
      <c r="K66" s="660"/>
      <c r="L66" s="660"/>
      <c r="M66" s="670"/>
      <c r="N66" s="642"/>
      <c r="O66" s="643"/>
      <c r="P66" s="644"/>
      <c r="Q66" s="644"/>
      <c r="R66" s="644">
        <f t="shared" si="1"/>
        <v>0</v>
      </c>
      <c r="S66" s="644"/>
      <c r="T66" s="644"/>
      <c r="U66" s="644">
        <f t="shared" si="2"/>
        <v>0</v>
      </c>
      <c r="V66" s="644">
        <f t="shared" si="3"/>
        <v>0</v>
      </c>
      <c r="W66" s="644">
        <f t="shared" si="11"/>
        <v>0</v>
      </c>
      <c r="X66" s="644">
        <f t="shared" si="10"/>
        <v>0</v>
      </c>
      <c r="Y66" s="646"/>
      <c r="AE66" s="588">
        <v>3603000</v>
      </c>
    </row>
    <row r="67" spans="1:31" s="588" customFormat="1" ht="33" customHeight="1">
      <c r="A67" s="629">
        <v>7</v>
      </c>
      <c r="B67" s="630" t="s">
        <v>348</v>
      </c>
      <c r="C67" s="630" t="s">
        <v>348</v>
      </c>
      <c r="D67" s="631">
        <v>2</v>
      </c>
      <c r="E67" s="630" t="s">
        <v>361</v>
      </c>
      <c r="F67" s="630" t="s">
        <v>367</v>
      </c>
      <c r="G67" s="631"/>
      <c r="H67" s="631"/>
      <c r="I67" s="631"/>
      <c r="J67" s="631"/>
      <c r="K67" s="631"/>
      <c r="L67" s="631"/>
      <c r="M67" s="632"/>
      <c r="N67" s="665" t="s">
        <v>396</v>
      </c>
      <c r="O67" s="634">
        <f t="shared" ref="O67:U68" si="15">O68</f>
        <v>191843000</v>
      </c>
      <c r="P67" s="634">
        <f t="shared" si="15"/>
        <v>142196638</v>
      </c>
      <c r="Q67" s="634">
        <f t="shared" si="15"/>
        <v>24521000</v>
      </c>
      <c r="R67" s="634">
        <f t="shared" si="15"/>
        <v>166717638</v>
      </c>
      <c r="S67" s="634">
        <f t="shared" si="15"/>
        <v>142746638</v>
      </c>
      <c r="T67" s="634">
        <f t="shared" si="15"/>
        <v>35451250</v>
      </c>
      <c r="U67" s="634">
        <f t="shared" si="15"/>
        <v>178197888</v>
      </c>
      <c r="V67" s="635">
        <f t="shared" si="3"/>
        <v>13645112</v>
      </c>
      <c r="W67" s="635"/>
      <c r="X67" s="635">
        <f t="shared" si="10"/>
        <v>-11480250</v>
      </c>
      <c r="Y67" s="666">
        <f t="shared" si="0"/>
        <v>0.92887354764051855</v>
      </c>
      <c r="AE67" s="588">
        <f>AE65-AE66</f>
        <v>525750</v>
      </c>
    </row>
    <row r="68" spans="1:31" s="588" customFormat="1" ht="33" customHeight="1">
      <c r="A68" s="671">
        <v>7</v>
      </c>
      <c r="B68" s="672" t="s">
        <v>348</v>
      </c>
      <c r="C68" s="672" t="s">
        <v>348</v>
      </c>
      <c r="D68" s="672" t="s">
        <v>397</v>
      </c>
      <c r="E68" s="672" t="s">
        <v>361</v>
      </c>
      <c r="F68" s="672" t="s">
        <v>367</v>
      </c>
      <c r="G68" s="624">
        <v>5</v>
      </c>
      <c r="H68" s="624">
        <v>1</v>
      </c>
      <c r="I68" s="637" t="s">
        <v>350</v>
      </c>
      <c r="J68" s="660"/>
      <c r="K68" s="660"/>
      <c r="L68" s="660"/>
      <c r="M68" s="670"/>
      <c r="N68" s="667" t="s">
        <v>377</v>
      </c>
      <c r="O68" s="662">
        <f t="shared" si="15"/>
        <v>191843000</v>
      </c>
      <c r="P68" s="662">
        <f t="shared" si="15"/>
        <v>142196638</v>
      </c>
      <c r="Q68" s="662">
        <f t="shared" si="15"/>
        <v>24521000</v>
      </c>
      <c r="R68" s="662">
        <f t="shared" si="15"/>
        <v>166717638</v>
      </c>
      <c r="S68" s="662">
        <f t="shared" si="15"/>
        <v>142746638</v>
      </c>
      <c r="T68" s="662">
        <f t="shared" si="15"/>
        <v>35451250</v>
      </c>
      <c r="U68" s="662">
        <f t="shared" si="15"/>
        <v>178197888</v>
      </c>
      <c r="V68" s="595">
        <f t="shared" si="3"/>
        <v>13645112</v>
      </c>
      <c r="W68" s="595"/>
      <c r="X68" s="595">
        <f t="shared" si="10"/>
        <v>-11480250</v>
      </c>
      <c r="Y68" s="597">
        <f t="shared" si="0"/>
        <v>0.92887354764051855</v>
      </c>
    </row>
    <row r="69" spans="1:31" s="588" customFormat="1" ht="33" customHeight="1">
      <c r="A69" s="671">
        <v>7</v>
      </c>
      <c r="B69" s="672" t="s">
        <v>348</v>
      </c>
      <c r="C69" s="672" t="s">
        <v>348</v>
      </c>
      <c r="D69" s="672" t="s">
        <v>397</v>
      </c>
      <c r="E69" s="672" t="s">
        <v>361</v>
      </c>
      <c r="F69" s="672" t="s">
        <v>367</v>
      </c>
      <c r="G69" s="624">
        <v>5</v>
      </c>
      <c r="H69" s="624">
        <v>1</v>
      </c>
      <c r="I69" s="637" t="s">
        <v>350</v>
      </c>
      <c r="J69" s="672" t="s">
        <v>348</v>
      </c>
      <c r="K69" s="660"/>
      <c r="L69" s="660"/>
      <c r="M69" s="670"/>
      <c r="N69" s="667" t="s">
        <v>398</v>
      </c>
      <c r="O69" s="662">
        <f>O70+O72</f>
        <v>191843000</v>
      </c>
      <c r="P69" s="662">
        <f t="shared" ref="P69:U69" si="16">P70+P72</f>
        <v>142196638</v>
      </c>
      <c r="Q69" s="662">
        <f t="shared" si="16"/>
        <v>24521000</v>
      </c>
      <c r="R69" s="662">
        <f t="shared" si="16"/>
        <v>166717638</v>
      </c>
      <c r="S69" s="662">
        <f t="shared" si="16"/>
        <v>142746638</v>
      </c>
      <c r="T69" s="662">
        <f t="shared" si="16"/>
        <v>35451250</v>
      </c>
      <c r="U69" s="662">
        <f t="shared" si="16"/>
        <v>178197888</v>
      </c>
      <c r="V69" s="595">
        <f t="shared" si="3"/>
        <v>13645112</v>
      </c>
      <c r="W69" s="595"/>
      <c r="X69" s="595">
        <f t="shared" si="10"/>
        <v>-11480250</v>
      </c>
      <c r="Y69" s="597">
        <f t="shared" si="0"/>
        <v>0.92887354764051855</v>
      </c>
    </row>
    <row r="70" spans="1:31" s="588" customFormat="1" ht="33" customHeight="1">
      <c r="A70" s="623">
        <v>7</v>
      </c>
      <c r="B70" s="637" t="s">
        <v>348</v>
      </c>
      <c r="C70" s="637" t="s">
        <v>348</v>
      </c>
      <c r="D70" s="624">
        <v>2</v>
      </c>
      <c r="E70" s="637" t="s">
        <v>361</v>
      </c>
      <c r="F70" s="637" t="s">
        <v>359</v>
      </c>
      <c r="G70" s="624">
        <v>5</v>
      </c>
      <c r="H70" s="624">
        <v>1</v>
      </c>
      <c r="I70" s="637" t="s">
        <v>350</v>
      </c>
      <c r="J70" s="637" t="s">
        <v>348</v>
      </c>
      <c r="K70" s="637" t="s">
        <v>348</v>
      </c>
      <c r="L70" s="660"/>
      <c r="M70" s="670"/>
      <c r="N70" s="667" t="s">
        <v>379</v>
      </c>
      <c r="O70" s="662">
        <f>O71</f>
        <v>65652000</v>
      </c>
      <c r="P70" s="662">
        <f t="shared" ref="P70:U70" si="17">P71</f>
        <v>46894650</v>
      </c>
      <c r="Q70" s="662">
        <f t="shared" si="17"/>
        <v>3746750</v>
      </c>
      <c r="R70" s="662">
        <f t="shared" si="17"/>
        <v>50641400</v>
      </c>
      <c r="S70" s="662">
        <f t="shared" si="17"/>
        <v>46894650</v>
      </c>
      <c r="T70" s="662">
        <f t="shared" si="17"/>
        <v>12467000</v>
      </c>
      <c r="U70" s="662">
        <f t="shared" si="17"/>
        <v>59361650</v>
      </c>
      <c r="V70" s="595">
        <f t="shared" si="3"/>
        <v>6290350</v>
      </c>
      <c r="W70" s="595"/>
      <c r="X70" s="595">
        <f t="shared" si="10"/>
        <v>-8720250</v>
      </c>
      <c r="Y70" s="597">
        <f t="shared" si="0"/>
        <v>0.9041864680436239</v>
      </c>
    </row>
    <row r="71" spans="1:31" s="588" customFormat="1" ht="33" customHeight="1">
      <c r="A71" s="638">
        <v>7</v>
      </c>
      <c r="B71" s="639" t="s">
        <v>348</v>
      </c>
      <c r="C71" s="639" t="s">
        <v>348</v>
      </c>
      <c r="D71" s="640">
        <v>2</v>
      </c>
      <c r="E71" s="639" t="s">
        <v>361</v>
      </c>
      <c r="F71" s="639" t="s">
        <v>359</v>
      </c>
      <c r="G71" s="640">
        <v>5</v>
      </c>
      <c r="H71" s="640">
        <v>1</v>
      </c>
      <c r="I71" s="639" t="s">
        <v>350</v>
      </c>
      <c r="J71" s="639" t="s">
        <v>348</v>
      </c>
      <c r="K71" s="639" t="s">
        <v>348</v>
      </c>
      <c r="L71" s="639" t="s">
        <v>393</v>
      </c>
      <c r="M71" s="641">
        <v>2</v>
      </c>
      <c r="N71" s="642" t="s">
        <v>399</v>
      </c>
      <c r="O71" s="643">
        <f>'[1]SPJ FUNGSIONAL '!O77</f>
        <v>65652000</v>
      </c>
      <c r="P71" s="644">
        <f>'[2]LRA SP2D'!$R$71</f>
        <v>46894650</v>
      </c>
      <c r="Q71" s="644">
        <v>3746750</v>
      </c>
      <c r="R71" s="644">
        <f t="shared" si="1"/>
        <v>50641400</v>
      </c>
      <c r="S71" s="644">
        <f>'[1]SPJ FUNGSIONAL '!Y77</f>
        <v>46894650</v>
      </c>
      <c r="T71" s="644">
        <f>'[1]SPJ FUNGSIONAL '!Z77</f>
        <v>12467000</v>
      </c>
      <c r="U71" s="644">
        <f t="shared" si="2"/>
        <v>59361650</v>
      </c>
      <c r="V71" s="644">
        <f t="shared" si="3"/>
        <v>6290350</v>
      </c>
      <c r="W71" s="644"/>
      <c r="X71" s="644">
        <f t="shared" si="10"/>
        <v>-8720250</v>
      </c>
      <c r="Y71" s="646">
        <f t="shared" si="0"/>
        <v>0.9041864680436239</v>
      </c>
    </row>
    <row r="72" spans="1:31" s="588" customFormat="1" ht="33" customHeight="1">
      <c r="A72" s="671">
        <v>7</v>
      </c>
      <c r="B72" s="672" t="s">
        <v>348</v>
      </c>
      <c r="C72" s="672" t="s">
        <v>348</v>
      </c>
      <c r="D72" s="672" t="s">
        <v>397</v>
      </c>
      <c r="E72" s="672" t="s">
        <v>361</v>
      </c>
      <c r="F72" s="672" t="s">
        <v>367</v>
      </c>
      <c r="G72" s="624">
        <v>5</v>
      </c>
      <c r="H72" s="624">
        <v>1</v>
      </c>
      <c r="I72" s="637" t="s">
        <v>350</v>
      </c>
      <c r="J72" s="672" t="s">
        <v>382</v>
      </c>
      <c r="K72" s="660"/>
      <c r="L72" s="660"/>
      <c r="M72" s="670"/>
      <c r="N72" s="667" t="s">
        <v>400</v>
      </c>
      <c r="O72" s="662">
        <f>O73</f>
        <v>126191000</v>
      </c>
      <c r="P72" s="662">
        <f t="shared" ref="P72:U73" si="18">P73</f>
        <v>95301988</v>
      </c>
      <c r="Q72" s="662">
        <f t="shared" si="18"/>
        <v>20774250</v>
      </c>
      <c r="R72" s="662">
        <f t="shared" si="18"/>
        <v>116076238</v>
      </c>
      <c r="S72" s="662">
        <f t="shared" si="18"/>
        <v>95851988</v>
      </c>
      <c r="T72" s="662">
        <f t="shared" si="18"/>
        <v>22984250</v>
      </c>
      <c r="U72" s="662">
        <f t="shared" si="18"/>
        <v>118836238</v>
      </c>
      <c r="V72" s="595">
        <f t="shared" si="3"/>
        <v>7354762</v>
      </c>
      <c r="W72" s="595"/>
      <c r="X72" s="595">
        <f t="shared" si="10"/>
        <v>-2760000</v>
      </c>
      <c r="Y72" s="597">
        <f t="shared" si="0"/>
        <v>0.94171722230586963</v>
      </c>
    </row>
    <row r="73" spans="1:31" s="588" customFormat="1" ht="33" customHeight="1">
      <c r="A73" s="671">
        <v>7</v>
      </c>
      <c r="B73" s="672" t="s">
        <v>348</v>
      </c>
      <c r="C73" s="672" t="s">
        <v>348</v>
      </c>
      <c r="D73" s="672" t="s">
        <v>397</v>
      </c>
      <c r="E73" s="672" t="s">
        <v>361</v>
      </c>
      <c r="F73" s="672" t="s">
        <v>367</v>
      </c>
      <c r="G73" s="624">
        <v>5</v>
      </c>
      <c r="H73" s="624">
        <v>1</v>
      </c>
      <c r="I73" s="637" t="s">
        <v>350</v>
      </c>
      <c r="J73" s="672" t="s">
        <v>382</v>
      </c>
      <c r="K73" s="672" t="s">
        <v>348</v>
      </c>
      <c r="L73" s="673"/>
      <c r="M73" s="674"/>
      <c r="N73" s="668" t="s">
        <v>401</v>
      </c>
      <c r="O73" s="662">
        <f>O74</f>
        <v>126191000</v>
      </c>
      <c r="P73" s="662">
        <f>P74</f>
        <v>95301988</v>
      </c>
      <c r="Q73" s="662">
        <f>Q74</f>
        <v>20774250</v>
      </c>
      <c r="R73" s="662">
        <f t="shared" si="18"/>
        <v>116076238</v>
      </c>
      <c r="S73" s="662">
        <f t="shared" si="18"/>
        <v>95851988</v>
      </c>
      <c r="T73" s="662">
        <f t="shared" si="18"/>
        <v>22984250</v>
      </c>
      <c r="U73" s="662">
        <f t="shared" si="18"/>
        <v>118836238</v>
      </c>
      <c r="V73" s="595">
        <f t="shared" si="3"/>
        <v>7354762</v>
      </c>
      <c r="W73" s="595"/>
      <c r="X73" s="595">
        <f t="shared" si="10"/>
        <v>-2760000</v>
      </c>
      <c r="Y73" s="597">
        <f t="shared" si="0"/>
        <v>0.94171722230586963</v>
      </c>
    </row>
    <row r="74" spans="1:31" s="588" customFormat="1" ht="33" customHeight="1">
      <c r="A74" s="669">
        <v>7</v>
      </c>
      <c r="B74" s="654" t="s">
        <v>348</v>
      </c>
      <c r="C74" s="654" t="s">
        <v>348</v>
      </c>
      <c r="D74" s="654" t="s">
        <v>397</v>
      </c>
      <c r="E74" s="654" t="s">
        <v>361</v>
      </c>
      <c r="F74" s="654" t="s">
        <v>367</v>
      </c>
      <c r="G74" s="640">
        <v>5</v>
      </c>
      <c r="H74" s="640">
        <v>1</v>
      </c>
      <c r="I74" s="639" t="s">
        <v>350</v>
      </c>
      <c r="J74" s="654" t="s">
        <v>382</v>
      </c>
      <c r="K74" s="654" t="s">
        <v>348</v>
      </c>
      <c r="L74" s="654" t="s">
        <v>354</v>
      </c>
      <c r="M74" s="670">
        <v>1</v>
      </c>
      <c r="N74" s="642" t="s">
        <v>402</v>
      </c>
      <c r="O74" s="643">
        <f>'[1]SPJ FUNGSIONAL '!O80</f>
        <v>126191000</v>
      </c>
      <c r="P74" s="644">
        <f>'[2]LRA SP2D'!$R$74</f>
        <v>95301988</v>
      </c>
      <c r="Q74" s="644">
        <v>20774250</v>
      </c>
      <c r="R74" s="644">
        <f t="shared" si="1"/>
        <v>116076238</v>
      </c>
      <c r="S74" s="644">
        <f>'[1]SPJ FUNGSIONAL '!Y80</f>
        <v>95851988</v>
      </c>
      <c r="T74" s="644">
        <f>'[1]SPJ FUNGSIONAL '!Z80</f>
        <v>22984250</v>
      </c>
      <c r="U74" s="644">
        <f t="shared" si="2"/>
        <v>118836238</v>
      </c>
      <c r="V74" s="644">
        <f t="shared" si="3"/>
        <v>7354762</v>
      </c>
      <c r="W74" s="644"/>
      <c r="X74" s="644">
        <f t="shared" si="10"/>
        <v>-2760000</v>
      </c>
      <c r="Y74" s="646">
        <f t="shared" si="0"/>
        <v>0.94171722230586963</v>
      </c>
    </row>
    <row r="75" spans="1:31" s="588" customFormat="1" ht="25" customHeight="1">
      <c r="A75" s="669"/>
      <c r="B75" s="660"/>
      <c r="C75" s="660"/>
      <c r="D75" s="660"/>
      <c r="E75" s="660"/>
      <c r="F75" s="660"/>
      <c r="G75" s="660"/>
      <c r="H75" s="660"/>
      <c r="I75" s="660"/>
      <c r="J75" s="660"/>
      <c r="K75" s="660"/>
      <c r="L75" s="660"/>
      <c r="M75" s="670"/>
      <c r="N75" s="642"/>
      <c r="O75" s="643"/>
      <c r="P75" s="644"/>
      <c r="Q75" s="644"/>
      <c r="R75" s="644">
        <f t="shared" si="1"/>
        <v>0</v>
      </c>
      <c r="S75" s="644"/>
      <c r="T75" s="644"/>
      <c r="U75" s="644">
        <f t="shared" si="2"/>
        <v>0</v>
      </c>
      <c r="V75" s="644">
        <f t="shared" si="3"/>
        <v>0</v>
      </c>
      <c r="W75" s="644">
        <f t="shared" si="11"/>
        <v>0</v>
      </c>
      <c r="X75" s="644">
        <f t="shared" si="10"/>
        <v>0</v>
      </c>
      <c r="Y75" s="646"/>
    </row>
    <row r="76" spans="1:31" s="598" customFormat="1" ht="35.25" customHeight="1">
      <c r="A76" s="614">
        <v>7</v>
      </c>
      <c r="B76" s="615" t="s">
        <v>348</v>
      </c>
      <c r="C76" s="615" t="s">
        <v>348</v>
      </c>
      <c r="D76" s="616">
        <v>2</v>
      </c>
      <c r="E76" s="615" t="s">
        <v>363</v>
      </c>
      <c r="F76" s="616"/>
      <c r="G76" s="616"/>
      <c r="H76" s="616"/>
      <c r="I76" s="616"/>
      <c r="J76" s="616"/>
      <c r="K76" s="616"/>
      <c r="L76" s="616"/>
      <c r="M76" s="617"/>
      <c r="N76" s="618" t="str">
        <f>'[1]SPJ FUNGSIONAL '!N82</f>
        <v xml:space="preserve">PENGADAAN BARANG MILIK DAERAH PENUNJANG URUSAN PEMERINTAH DAERAH </v>
      </c>
      <c r="O76" s="619">
        <f>O78</f>
        <v>44526500</v>
      </c>
      <c r="P76" s="620">
        <f>P78</f>
        <v>0</v>
      </c>
      <c r="Q76" s="620">
        <f>Q78</f>
        <v>43230000</v>
      </c>
      <c r="R76" s="620">
        <f>SUM(P76:Q76)</f>
        <v>43230000</v>
      </c>
      <c r="S76" s="620">
        <f>S78</f>
        <v>31000000</v>
      </c>
      <c r="T76" s="620">
        <f>T78</f>
        <v>12230000</v>
      </c>
      <c r="U76" s="620">
        <f>SUM(S76:T76)</f>
        <v>43230000</v>
      </c>
      <c r="V76" s="620">
        <f t="shared" si="3"/>
        <v>1296500</v>
      </c>
      <c r="W76" s="620"/>
      <c r="X76" s="620">
        <f>X78+X84+X99+X105</f>
        <v>0</v>
      </c>
      <c r="Y76" s="621">
        <f t="shared" ref="Y76" si="19">U76/O76*100%</f>
        <v>0.97088250816929245</v>
      </c>
    </row>
    <row r="77" spans="1:31" s="588" customFormat="1" ht="25" customHeight="1">
      <c r="A77" s="669"/>
      <c r="B77" s="654"/>
      <c r="C77" s="654"/>
      <c r="D77" s="654"/>
      <c r="E77" s="654"/>
      <c r="F77" s="654"/>
      <c r="G77" s="640"/>
      <c r="H77" s="640"/>
      <c r="I77" s="639"/>
      <c r="J77" s="654"/>
      <c r="K77" s="654"/>
      <c r="L77" s="654"/>
      <c r="M77" s="670"/>
      <c r="N77" s="642"/>
      <c r="O77" s="643"/>
      <c r="P77" s="644"/>
      <c r="Q77" s="644"/>
      <c r="R77" s="644"/>
      <c r="S77" s="644"/>
      <c r="T77" s="644"/>
      <c r="U77" s="644"/>
      <c r="V77" s="644"/>
      <c r="W77" s="644"/>
      <c r="X77" s="644"/>
      <c r="Y77" s="646"/>
    </row>
    <row r="78" spans="1:31" s="598" customFormat="1" ht="31.5" customHeight="1">
      <c r="A78" s="675">
        <v>7</v>
      </c>
      <c r="B78" s="676" t="s">
        <v>348</v>
      </c>
      <c r="C78" s="676" t="s">
        <v>348</v>
      </c>
      <c r="D78" s="676">
        <v>2</v>
      </c>
      <c r="E78" s="676" t="s">
        <v>363</v>
      </c>
      <c r="F78" s="676" t="s">
        <v>361</v>
      </c>
      <c r="G78" s="677"/>
      <c r="H78" s="677"/>
      <c r="I78" s="676"/>
      <c r="J78" s="676"/>
      <c r="K78" s="676"/>
      <c r="L78" s="676"/>
      <c r="M78" s="678"/>
      <c r="N78" s="665" t="s">
        <v>572</v>
      </c>
      <c r="O78" s="679">
        <f>O79</f>
        <v>44526500</v>
      </c>
      <c r="P78" s="679">
        <f t="shared" ref="P78:Q79" si="20">P79</f>
        <v>0</v>
      </c>
      <c r="Q78" s="679">
        <f t="shared" si="20"/>
        <v>43230000</v>
      </c>
      <c r="R78" s="635">
        <f>SUM(P78:Q78)</f>
        <v>43230000</v>
      </c>
      <c r="S78" s="679">
        <f t="shared" ref="S78:T79" si="21">S79</f>
        <v>31000000</v>
      </c>
      <c r="T78" s="679">
        <f t="shared" si="21"/>
        <v>12230000</v>
      </c>
      <c r="U78" s="635">
        <f t="shared" ref="U78:U89" si="22">SUM(S78:T78)</f>
        <v>43230000</v>
      </c>
      <c r="V78" s="635">
        <f t="shared" si="3"/>
        <v>1296500</v>
      </c>
      <c r="W78" s="635"/>
      <c r="X78" s="635">
        <f t="shared" ref="X78" si="23">R78-U78</f>
        <v>0</v>
      </c>
      <c r="Y78" s="666">
        <f t="shared" ref="Y78:Y89" si="24">U78/O78*100%</f>
        <v>0.97088250816929245</v>
      </c>
    </row>
    <row r="79" spans="1:31" s="598" customFormat="1" ht="31.5" customHeight="1">
      <c r="A79" s="623">
        <v>7</v>
      </c>
      <c r="B79" s="637" t="s">
        <v>348</v>
      </c>
      <c r="C79" s="637" t="s">
        <v>348</v>
      </c>
      <c r="D79" s="637">
        <v>2</v>
      </c>
      <c r="E79" s="637" t="s">
        <v>363</v>
      </c>
      <c r="F79" s="637" t="s">
        <v>361</v>
      </c>
      <c r="G79" s="624">
        <v>5</v>
      </c>
      <c r="H79" s="624">
        <v>2</v>
      </c>
      <c r="I79" s="637"/>
      <c r="J79" s="672"/>
      <c r="K79" s="672"/>
      <c r="L79" s="672"/>
      <c r="M79" s="674"/>
      <c r="N79" s="668" t="str">
        <f>'[1]SPJ FUNGSIONAL '!N85</f>
        <v>Belanja Modal</v>
      </c>
      <c r="O79" s="662">
        <f>O80</f>
        <v>44526500</v>
      </c>
      <c r="P79" s="662">
        <f t="shared" si="20"/>
        <v>0</v>
      </c>
      <c r="Q79" s="662">
        <f t="shared" si="20"/>
        <v>43230000</v>
      </c>
      <c r="R79" s="595"/>
      <c r="S79" s="662">
        <f t="shared" si="21"/>
        <v>31000000</v>
      </c>
      <c r="T79" s="662">
        <f t="shared" si="21"/>
        <v>12230000</v>
      </c>
      <c r="U79" s="595">
        <f t="shared" si="22"/>
        <v>43230000</v>
      </c>
      <c r="V79" s="595">
        <f t="shared" si="3"/>
        <v>1296500</v>
      </c>
      <c r="W79" s="595"/>
      <c r="X79" s="595"/>
      <c r="Y79" s="597">
        <f t="shared" si="24"/>
        <v>0.97088250816929245</v>
      </c>
    </row>
    <row r="80" spans="1:31" s="598" customFormat="1" ht="31.5" customHeight="1">
      <c r="A80" s="623">
        <v>7</v>
      </c>
      <c r="B80" s="637" t="s">
        <v>348</v>
      </c>
      <c r="C80" s="637" t="s">
        <v>348</v>
      </c>
      <c r="D80" s="637">
        <v>2</v>
      </c>
      <c r="E80" s="637" t="s">
        <v>363</v>
      </c>
      <c r="F80" s="637" t="s">
        <v>361</v>
      </c>
      <c r="G80" s="624">
        <v>5</v>
      </c>
      <c r="H80" s="624">
        <v>2</v>
      </c>
      <c r="I80" s="637" t="s">
        <v>350</v>
      </c>
      <c r="J80" s="672"/>
      <c r="K80" s="672"/>
      <c r="L80" s="672"/>
      <c r="M80" s="674"/>
      <c r="N80" s="668" t="str">
        <f>'[1]SPJ FUNGSIONAL '!N86</f>
        <v xml:space="preserve">Belanja Modal Peralatan dan Mesin </v>
      </c>
      <c r="O80" s="662">
        <f>O81+O85</f>
        <v>44526500</v>
      </c>
      <c r="P80" s="662">
        <f t="shared" ref="P80:Q80" si="25">P81+P85</f>
        <v>0</v>
      </c>
      <c r="Q80" s="662">
        <f t="shared" si="25"/>
        <v>43230000</v>
      </c>
      <c r="R80" s="595">
        <f t="shared" ref="R80:R89" si="26">SUM(P80:Q80)</f>
        <v>43230000</v>
      </c>
      <c r="S80" s="662">
        <f t="shared" ref="S80:T80" si="27">S81+S85</f>
        <v>31000000</v>
      </c>
      <c r="T80" s="662">
        <f t="shared" si="27"/>
        <v>12230000</v>
      </c>
      <c r="U80" s="595">
        <f t="shared" si="22"/>
        <v>43230000</v>
      </c>
      <c r="V80" s="595">
        <f t="shared" si="3"/>
        <v>1296500</v>
      </c>
      <c r="W80" s="595"/>
      <c r="X80" s="595">
        <f t="shared" ref="X80:X89" si="28">R80-U80</f>
        <v>0</v>
      </c>
      <c r="Y80" s="597">
        <f t="shared" si="24"/>
        <v>0.97088250816929245</v>
      </c>
    </row>
    <row r="81" spans="1:25" s="598" customFormat="1" ht="31.5" customHeight="1">
      <c r="A81" s="623">
        <v>7</v>
      </c>
      <c r="B81" s="637" t="s">
        <v>348</v>
      </c>
      <c r="C81" s="637" t="s">
        <v>348</v>
      </c>
      <c r="D81" s="637">
        <v>2</v>
      </c>
      <c r="E81" s="637" t="s">
        <v>363</v>
      </c>
      <c r="F81" s="637" t="s">
        <v>361</v>
      </c>
      <c r="G81" s="624">
        <v>5</v>
      </c>
      <c r="H81" s="624">
        <v>2</v>
      </c>
      <c r="I81" s="637" t="s">
        <v>350</v>
      </c>
      <c r="J81" s="672" t="s">
        <v>359</v>
      </c>
      <c r="K81" s="672"/>
      <c r="L81" s="672"/>
      <c r="M81" s="674"/>
      <c r="N81" s="668" t="str">
        <f>'[1]SPJ FUNGSIONAL '!N87</f>
        <v>Belanja Modal Alat Kantor dan Rumah Tangga</v>
      </c>
      <c r="O81" s="662">
        <f>O82</f>
        <v>6926500</v>
      </c>
      <c r="P81" s="662">
        <f t="shared" ref="P81:Q81" si="29">P82</f>
        <v>0</v>
      </c>
      <c r="Q81" s="662">
        <f t="shared" si="29"/>
        <v>6830000</v>
      </c>
      <c r="R81" s="595">
        <f t="shared" si="26"/>
        <v>6830000</v>
      </c>
      <c r="S81" s="662">
        <f t="shared" ref="S81:T81" si="30">S82</f>
        <v>0</v>
      </c>
      <c r="T81" s="662">
        <f t="shared" si="30"/>
        <v>6830000</v>
      </c>
      <c r="U81" s="595">
        <f t="shared" si="22"/>
        <v>6830000</v>
      </c>
      <c r="V81" s="595">
        <f t="shared" si="3"/>
        <v>96500</v>
      </c>
      <c r="W81" s="595"/>
      <c r="X81" s="595">
        <f t="shared" si="28"/>
        <v>0</v>
      </c>
      <c r="Y81" s="597">
        <f t="shared" si="24"/>
        <v>0.98606799971125392</v>
      </c>
    </row>
    <row r="82" spans="1:25" s="598" customFormat="1" ht="39.75" customHeight="1">
      <c r="A82" s="623">
        <v>7</v>
      </c>
      <c r="B82" s="637" t="s">
        <v>348</v>
      </c>
      <c r="C82" s="637" t="s">
        <v>348</v>
      </c>
      <c r="D82" s="637">
        <v>2</v>
      </c>
      <c r="E82" s="637" t="s">
        <v>363</v>
      </c>
      <c r="F82" s="637" t="s">
        <v>361</v>
      </c>
      <c r="G82" s="624">
        <v>5</v>
      </c>
      <c r="H82" s="624">
        <v>2</v>
      </c>
      <c r="I82" s="637" t="s">
        <v>350</v>
      </c>
      <c r="J82" s="672" t="s">
        <v>359</v>
      </c>
      <c r="K82" s="672" t="s">
        <v>357</v>
      </c>
      <c r="L82" s="672"/>
      <c r="M82" s="674"/>
      <c r="N82" s="661" t="str">
        <f>'[1]SPJ FUNGSIONAL '!N88</f>
        <v>Belanja Modal Meja dan Kursi kerja/Rapat Pejabat</v>
      </c>
      <c r="O82" s="662">
        <f>O83+O84</f>
        <v>6926500</v>
      </c>
      <c r="P82" s="662">
        <f t="shared" ref="P82:Q82" si="31">P83+P84</f>
        <v>0</v>
      </c>
      <c r="Q82" s="662">
        <f t="shared" si="31"/>
        <v>6830000</v>
      </c>
      <c r="R82" s="595">
        <f t="shared" si="26"/>
        <v>6830000</v>
      </c>
      <c r="S82" s="662">
        <f t="shared" ref="S82:T82" si="32">S83+S84</f>
        <v>0</v>
      </c>
      <c r="T82" s="662">
        <f t="shared" si="32"/>
        <v>6830000</v>
      </c>
      <c r="U82" s="595">
        <f t="shared" si="22"/>
        <v>6830000</v>
      </c>
      <c r="V82" s="595">
        <f t="shared" si="3"/>
        <v>96500</v>
      </c>
      <c r="W82" s="595"/>
      <c r="X82" s="595">
        <f t="shared" si="28"/>
        <v>0</v>
      </c>
      <c r="Y82" s="597">
        <f t="shared" si="24"/>
        <v>0.98606799971125392</v>
      </c>
    </row>
    <row r="83" spans="1:25" s="588" customFormat="1" ht="31.5" customHeight="1">
      <c r="A83" s="638">
        <v>7</v>
      </c>
      <c r="B83" s="639" t="s">
        <v>348</v>
      </c>
      <c r="C83" s="639" t="s">
        <v>348</v>
      </c>
      <c r="D83" s="639">
        <v>2</v>
      </c>
      <c r="E83" s="639" t="s">
        <v>363</v>
      </c>
      <c r="F83" s="639" t="s">
        <v>361</v>
      </c>
      <c r="G83" s="640">
        <v>5</v>
      </c>
      <c r="H83" s="640">
        <v>2</v>
      </c>
      <c r="I83" s="639" t="s">
        <v>350</v>
      </c>
      <c r="J83" s="654" t="s">
        <v>359</v>
      </c>
      <c r="K83" s="654" t="s">
        <v>357</v>
      </c>
      <c r="L83" s="654" t="s">
        <v>354</v>
      </c>
      <c r="M83" s="670">
        <v>3</v>
      </c>
      <c r="N83" s="642" t="str">
        <f>'[1]SPJ FUNGSIONAL '!N89</f>
        <v xml:space="preserve">Belanja Modal Kursi Kerja Pejabat </v>
      </c>
      <c r="O83" s="643">
        <f>'[1]SPJ FUNGSIONAL '!O89</f>
        <v>4040500</v>
      </c>
      <c r="P83" s="644"/>
      <c r="Q83" s="644">
        <v>4030000</v>
      </c>
      <c r="R83" s="644">
        <f t="shared" si="26"/>
        <v>4030000</v>
      </c>
      <c r="S83" s="644"/>
      <c r="T83" s="644">
        <f>'[1]SPJ FUNGSIONAL '!Z89</f>
        <v>4030000</v>
      </c>
      <c r="U83" s="644">
        <f t="shared" si="22"/>
        <v>4030000</v>
      </c>
      <c r="V83" s="644">
        <f t="shared" si="3"/>
        <v>10500</v>
      </c>
      <c r="W83" s="644"/>
      <c r="X83" s="644">
        <f t="shared" si="28"/>
        <v>0</v>
      </c>
      <c r="Y83" s="646">
        <f t="shared" si="24"/>
        <v>0.99740131171884672</v>
      </c>
    </row>
    <row r="84" spans="1:25" s="588" customFormat="1" ht="31.5" customHeight="1">
      <c r="A84" s="638">
        <v>7</v>
      </c>
      <c r="B84" s="639" t="s">
        <v>348</v>
      </c>
      <c r="C84" s="639" t="s">
        <v>348</v>
      </c>
      <c r="D84" s="639">
        <v>2</v>
      </c>
      <c r="E84" s="639" t="s">
        <v>363</v>
      </c>
      <c r="F84" s="639" t="s">
        <v>361</v>
      </c>
      <c r="G84" s="640">
        <v>5</v>
      </c>
      <c r="H84" s="640">
        <v>2</v>
      </c>
      <c r="I84" s="639" t="s">
        <v>350</v>
      </c>
      <c r="J84" s="654" t="s">
        <v>359</v>
      </c>
      <c r="K84" s="654" t="s">
        <v>357</v>
      </c>
      <c r="L84" s="654" t="s">
        <v>354</v>
      </c>
      <c r="M84" s="670">
        <v>7</v>
      </c>
      <c r="N84" s="642" t="str">
        <f>'[1]SPJ FUNGSIONAL '!N90</f>
        <v xml:space="preserve">Belanja Modal Lemari dan Arsip Pejabat </v>
      </c>
      <c r="O84" s="643">
        <f>'[1]SPJ FUNGSIONAL '!O90</f>
        <v>2886000</v>
      </c>
      <c r="P84" s="644"/>
      <c r="Q84" s="644">
        <v>2800000</v>
      </c>
      <c r="R84" s="644">
        <f t="shared" si="26"/>
        <v>2800000</v>
      </c>
      <c r="S84" s="644"/>
      <c r="T84" s="644">
        <f>'[1]SPJ FUNGSIONAL '!Z90</f>
        <v>2800000</v>
      </c>
      <c r="U84" s="644">
        <f t="shared" si="22"/>
        <v>2800000</v>
      </c>
      <c r="V84" s="644">
        <f t="shared" si="3"/>
        <v>86000</v>
      </c>
      <c r="W84" s="644"/>
      <c r="X84" s="644">
        <f t="shared" si="28"/>
        <v>0</v>
      </c>
      <c r="Y84" s="646">
        <f t="shared" si="24"/>
        <v>0.97020097020097018</v>
      </c>
    </row>
    <row r="85" spans="1:25" s="598" customFormat="1" ht="31.5" customHeight="1">
      <c r="A85" s="623">
        <v>7</v>
      </c>
      <c r="B85" s="637" t="s">
        <v>348</v>
      </c>
      <c r="C85" s="637" t="s">
        <v>348</v>
      </c>
      <c r="D85" s="637">
        <v>2</v>
      </c>
      <c r="E85" s="637" t="s">
        <v>363</v>
      </c>
      <c r="F85" s="637" t="s">
        <v>361</v>
      </c>
      <c r="G85" s="624">
        <v>5</v>
      </c>
      <c r="H85" s="624">
        <v>2</v>
      </c>
      <c r="I85" s="637" t="s">
        <v>350</v>
      </c>
      <c r="J85" s="672">
        <v>10</v>
      </c>
      <c r="K85" s="672"/>
      <c r="L85" s="672"/>
      <c r="M85" s="674"/>
      <c r="N85" s="668" t="str">
        <f>'[1]SPJ FUNGSIONAL '!N91</f>
        <v>Belanja Modal Komputer</v>
      </c>
      <c r="O85" s="662">
        <f>O86+O88</f>
        <v>37600000</v>
      </c>
      <c r="P85" s="662">
        <f t="shared" ref="P85:Q85" si="33">P86+P88</f>
        <v>0</v>
      </c>
      <c r="Q85" s="662">
        <f t="shared" si="33"/>
        <v>36400000</v>
      </c>
      <c r="R85" s="595">
        <f t="shared" si="26"/>
        <v>36400000</v>
      </c>
      <c r="S85" s="662">
        <f t="shared" ref="S85:T85" si="34">S86+S88</f>
        <v>31000000</v>
      </c>
      <c r="T85" s="662">
        <f t="shared" si="34"/>
        <v>5400000</v>
      </c>
      <c r="U85" s="595">
        <f t="shared" si="22"/>
        <v>36400000</v>
      </c>
      <c r="V85" s="595">
        <f t="shared" si="3"/>
        <v>1200000</v>
      </c>
      <c r="W85" s="595"/>
      <c r="X85" s="595">
        <f t="shared" si="28"/>
        <v>0</v>
      </c>
      <c r="Y85" s="597">
        <f t="shared" si="24"/>
        <v>0.96808510638297873</v>
      </c>
    </row>
    <row r="86" spans="1:25" s="598" customFormat="1" ht="31.5" customHeight="1">
      <c r="A86" s="623">
        <v>7</v>
      </c>
      <c r="B86" s="637" t="s">
        <v>348</v>
      </c>
      <c r="C86" s="637" t="s">
        <v>348</v>
      </c>
      <c r="D86" s="637">
        <v>2</v>
      </c>
      <c r="E86" s="637" t="s">
        <v>363</v>
      </c>
      <c r="F86" s="637" t="s">
        <v>361</v>
      </c>
      <c r="G86" s="624">
        <v>5</v>
      </c>
      <c r="H86" s="624">
        <v>2</v>
      </c>
      <c r="I86" s="637" t="s">
        <v>350</v>
      </c>
      <c r="J86" s="672">
        <v>10</v>
      </c>
      <c r="K86" s="672" t="s">
        <v>348</v>
      </c>
      <c r="L86" s="672"/>
      <c r="M86" s="674"/>
      <c r="N86" s="668" t="str">
        <f>'[1]SPJ FUNGSIONAL '!N92</f>
        <v>Belanja Modal Komputer Unit</v>
      </c>
      <c r="O86" s="662">
        <f>O87</f>
        <v>32000000</v>
      </c>
      <c r="P86" s="662">
        <f t="shared" ref="P86:Q86" si="35">P87</f>
        <v>0</v>
      </c>
      <c r="Q86" s="662">
        <f t="shared" si="35"/>
        <v>31000000</v>
      </c>
      <c r="R86" s="595">
        <f t="shared" si="26"/>
        <v>31000000</v>
      </c>
      <c r="S86" s="662">
        <f t="shared" ref="S86:T86" si="36">S87</f>
        <v>31000000</v>
      </c>
      <c r="T86" s="662">
        <f t="shared" si="36"/>
        <v>0</v>
      </c>
      <c r="U86" s="595">
        <f t="shared" si="22"/>
        <v>31000000</v>
      </c>
      <c r="V86" s="595">
        <f t="shared" si="3"/>
        <v>1000000</v>
      </c>
      <c r="W86" s="595"/>
      <c r="X86" s="595">
        <f t="shared" si="28"/>
        <v>0</v>
      </c>
      <c r="Y86" s="597">
        <f t="shared" si="24"/>
        <v>0.96875</v>
      </c>
    </row>
    <row r="87" spans="1:25" s="588" customFormat="1" ht="31.5" customHeight="1">
      <c r="A87" s="638">
        <v>7</v>
      </c>
      <c r="B87" s="639" t="s">
        <v>348</v>
      </c>
      <c r="C87" s="639" t="s">
        <v>348</v>
      </c>
      <c r="D87" s="639">
        <v>2</v>
      </c>
      <c r="E87" s="639" t="s">
        <v>363</v>
      </c>
      <c r="F87" s="639" t="s">
        <v>361</v>
      </c>
      <c r="G87" s="640">
        <v>5</v>
      </c>
      <c r="H87" s="640">
        <v>2</v>
      </c>
      <c r="I87" s="639" t="s">
        <v>350</v>
      </c>
      <c r="J87" s="654">
        <v>10</v>
      </c>
      <c r="K87" s="654" t="s">
        <v>348</v>
      </c>
      <c r="L87" s="654" t="s">
        <v>354</v>
      </c>
      <c r="M87" s="670">
        <v>2</v>
      </c>
      <c r="N87" s="642" t="str">
        <f>'[1]SPJ FUNGSIONAL '!N93</f>
        <v xml:space="preserve">Belanja Modal Personal Komputer (Laptop) </v>
      </c>
      <c r="O87" s="643">
        <f>'[1]SPJ FUNGSIONAL '!O93</f>
        <v>32000000</v>
      </c>
      <c r="P87" s="644"/>
      <c r="Q87" s="644">
        <v>31000000</v>
      </c>
      <c r="R87" s="644">
        <f t="shared" si="26"/>
        <v>31000000</v>
      </c>
      <c r="S87" s="644">
        <f>'[1]SPJ FUNGSIONAL '!AA93</f>
        <v>31000000</v>
      </c>
      <c r="T87" s="644">
        <f>'[1]SPJ FUNGSIONAL '!Z93</f>
        <v>0</v>
      </c>
      <c r="U87" s="644">
        <f t="shared" si="22"/>
        <v>31000000</v>
      </c>
      <c r="V87" s="644">
        <f t="shared" si="3"/>
        <v>1000000</v>
      </c>
      <c r="W87" s="644"/>
      <c r="X87" s="644">
        <f t="shared" si="28"/>
        <v>0</v>
      </c>
      <c r="Y87" s="646">
        <f t="shared" si="24"/>
        <v>0.96875</v>
      </c>
    </row>
    <row r="88" spans="1:25" s="598" customFormat="1" ht="31.5" customHeight="1">
      <c r="A88" s="623">
        <v>7</v>
      </c>
      <c r="B88" s="637" t="s">
        <v>348</v>
      </c>
      <c r="C88" s="637" t="s">
        <v>348</v>
      </c>
      <c r="D88" s="637">
        <v>2</v>
      </c>
      <c r="E88" s="637" t="s">
        <v>363</v>
      </c>
      <c r="F88" s="637" t="s">
        <v>361</v>
      </c>
      <c r="G88" s="624">
        <v>5</v>
      </c>
      <c r="H88" s="624">
        <v>2</v>
      </c>
      <c r="I88" s="637" t="s">
        <v>350</v>
      </c>
      <c r="J88" s="672">
        <v>10</v>
      </c>
      <c r="K88" s="672" t="s">
        <v>350</v>
      </c>
      <c r="L88" s="672"/>
      <c r="M88" s="674"/>
      <c r="N88" s="668" t="str">
        <f>'[1]SPJ FUNGSIONAL '!N94</f>
        <v>Belanja Modal Peralatan Komputer</v>
      </c>
      <c r="O88" s="662">
        <f>O89</f>
        <v>5600000</v>
      </c>
      <c r="P88" s="595">
        <f>P89</f>
        <v>0</v>
      </c>
      <c r="Q88" s="595">
        <f>Q89</f>
        <v>5400000</v>
      </c>
      <c r="R88" s="595">
        <f t="shared" si="26"/>
        <v>5400000</v>
      </c>
      <c r="S88" s="595">
        <f>S89</f>
        <v>0</v>
      </c>
      <c r="T88" s="595">
        <f>T89</f>
        <v>5400000</v>
      </c>
      <c r="U88" s="595">
        <f t="shared" si="22"/>
        <v>5400000</v>
      </c>
      <c r="V88" s="595">
        <f t="shared" si="3"/>
        <v>200000</v>
      </c>
      <c r="W88" s="595"/>
      <c r="X88" s="595">
        <f t="shared" si="28"/>
        <v>0</v>
      </c>
      <c r="Y88" s="597">
        <f t="shared" si="24"/>
        <v>0.9642857142857143</v>
      </c>
    </row>
    <row r="89" spans="1:25" s="588" customFormat="1" ht="31.5" customHeight="1">
      <c r="A89" s="638">
        <v>7</v>
      </c>
      <c r="B89" s="639" t="s">
        <v>348</v>
      </c>
      <c r="C89" s="639" t="s">
        <v>348</v>
      </c>
      <c r="D89" s="639">
        <v>2</v>
      </c>
      <c r="E89" s="639" t="s">
        <v>363</v>
      </c>
      <c r="F89" s="639" t="s">
        <v>361</v>
      </c>
      <c r="G89" s="640">
        <v>5</v>
      </c>
      <c r="H89" s="640">
        <v>2</v>
      </c>
      <c r="I89" s="639" t="s">
        <v>350</v>
      </c>
      <c r="J89" s="654">
        <v>10</v>
      </c>
      <c r="K89" s="654" t="s">
        <v>350</v>
      </c>
      <c r="L89" s="654" t="s">
        <v>354</v>
      </c>
      <c r="M89" s="670">
        <v>3</v>
      </c>
      <c r="N89" s="642" t="str">
        <f>'[1]SPJ FUNGSIONAL '!N95</f>
        <v xml:space="preserve">Belanja Modal Peralatan Personal Komputer (Printer) </v>
      </c>
      <c r="O89" s="643">
        <f>'[1]SPJ FUNGSIONAL '!O95</f>
        <v>5600000</v>
      </c>
      <c r="P89" s="644"/>
      <c r="Q89" s="644">
        <v>5400000</v>
      </c>
      <c r="R89" s="644">
        <f t="shared" si="26"/>
        <v>5400000</v>
      </c>
      <c r="S89" s="644"/>
      <c r="T89" s="644">
        <f>'[1]SPJ FUNGSIONAL '!Z95</f>
        <v>5400000</v>
      </c>
      <c r="U89" s="644">
        <f t="shared" si="22"/>
        <v>5400000</v>
      </c>
      <c r="V89" s="644">
        <f t="shared" si="3"/>
        <v>200000</v>
      </c>
      <c r="W89" s="644"/>
      <c r="X89" s="644">
        <f t="shared" si="28"/>
        <v>0</v>
      </c>
      <c r="Y89" s="646">
        <f t="shared" si="24"/>
        <v>0.9642857142857143</v>
      </c>
    </row>
    <row r="90" spans="1:25" s="588" customFormat="1" ht="25" customHeight="1">
      <c r="A90" s="669"/>
      <c r="B90" s="660"/>
      <c r="C90" s="660"/>
      <c r="D90" s="660"/>
      <c r="E90" s="660"/>
      <c r="F90" s="660"/>
      <c r="G90" s="660"/>
      <c r="H90" s="660"/>
      <c r="I90" s="660"/>
      <c r="J90" s="660"/>
      <c r="K90" s="660"/>
      <c r="L90" s="660"/>
      <c r="M90" s="670"/>
      <c r="N90" s="642"/>
      <c r="O90" s="643"/>
      <c r="P90" s="644"/>
      <c r="Q90" s="644"/>
      <c r="R90" s="644"/>
      <c r="S90" s="644"/>
      <c r="T90" s="644"/>
      <c r="U90" s="644"/>
      <c r="V90" s="644"/>
      <c r="W90" s="644"/>
      <c r="X90" s="644"/>
      <c r="Y90" s="646"/>
    </row>
    <row r="91" spans="1:25" s="588" customFormat="1" ht="36.75" customHeight="1">
      <c r="A91" s="614">
        <v>7</v>
      </c>
      <c r="B91" s="615" t="s">
        <v>348</v>
      </c>
      <c r="C91" s="615" t="s">
        <v>348</v>
      </c>
      <c r="D91" s="616">
        <v>2</v>
      </c>
      <c r="E91" s="615" t="s">
        <v>365</v>
      </c>
      <c r="F91" s="616"/>
      <c r="G91" s="616"/>
      <c r="H91" s="616"/>
      <c r="I91" s="616"/>
      <c r="J91" s="616"/>
      <c r="K91" s="616"/>
      <c r="L91" s="616"/>
      <c r="M91" s="617"/>
      <c r="N91" s="618" t="s">
        <v>414</v>
      </c>
      <c r="O91" s="619">
        <f>O93+O99+O106</f>
        <v>1049903032</v>
      </c>
      <c r="P91" s="620">
        <f>P93+P99+P106</f>
        <v>850985243</v>
      </c>
      <c r="Q91" s="620">
        <f>Q93+Q99+Q106</f>
        <v>85109230</v>
      </c>
      <c r="R91" s="620">
        <f t="shared" si="1"/>
        <v>936094473</v>
      </c>
      <c r="S91" s="620">
        <f>S93+S99+S106</f>
        <v>850965743</v>
      </c>
      <c r="T91" s="620">
        <f>T93+T99+T106</f>
        <v>160661394</v>
      </c>
      <c r="U91" s="620">
        <f t="shared" si="2"/>
        <v>1011627137</v>
      </c>
      <c r="V91" s="620">
        <f t="shared" si="3"/>
        <v>38275895</v>
      </c>
      <c r="W91" s="620">
        <f>W93+W99+W106</f>
        <v>957336</v>
      </c>
      <c r="X91" s="620">
        <f>X93+X99+X106</f>
        <v>-76490000</v>
      </c>
      <c r="Y91" s="621">
        <f t="shared" si="0"/>
        <v>0.96354339988228555</v>
      </c>
    </row>
    <row r="92" spans="1:25" s="588" customFormat="1" ht="25" customHeight="1">
      <c r="A92" s="623"/>
      <c r="B92" s="624"/>
      <c r="C92" s="624"/>
      <c r="D92" s="624"/>
      <c r="E92" s="624"/>
      <c r="F92" s="624"/>
      <c r="G92" s="624"/>
      <c r="H92" s="624"/>
      <c r="I92" s="624"/>
      <c r="J92" s="624"/>
      <c r="K92" s="624"/>
      <c r="L92" s="624"/>
      <c r="M92" s="625"/>
      <c r="N92" s="667"/>
      <c r="O92" s="627"/>
      <c r="P92" s="628"/>
      <c r="Q92" s="628"/>
      <c r="R92" s="595">
        <f t="shared" si="1"/>
        <v>0</v>
      </c>
      <c r="S92" s="628"/>
      <c r="T92" s="628"/>
      <c r="U92" s="595"/>
      <c r="V92" s="595"/>
      <c r="W92" s="595"/>
      <c r="X92" s="595"/>
      <c r="Y92" s="597"/>
    </row>
    <row r="93" spans="1:25" s="588" customFormat="1" ht="35.25" customHeight="1">
      <c r="A93" s="629">
        <v>7</v>
      </c>
      <c r="B93" s="630" t="s">
        <v>348</v>
      </c>
      <c r="C93" s="630" t="s">
        <v>348</v>
      </c>
      <c r="D93" s="631">
        <v>2</v>
      </c>
      <c r="E93" s="630" t="s">
        <v>365</v>
      </c>
      <c r="F93" s="630" t="s">
        <v>348</v>
      </c>
      <c r="G93" s="631"/>
      <c r="H93" s="631"/>
      <c r="I93" s="631"/>
      <c r="J93" s="631"/>
      <c r="K93" s="631"/>
      <c r="L93" s="631"/>
      <c r="M93" s="632"/>
      <c r="N93" s="665" t="s">
        <v>134</v>
      </c>
      <c r="O93" s="634">
        <f>O94</f>
        <v>1300000</v>
      </c>
      <c r="P93" s="635">
        <f t="shared" ref="P93:Q96" si="37">P94</f>
        <v>950000</v>
      </c>
      <c r="Q93" s="635">
        <f t="shared" si="37"/>
        <v>100000</v>
      </c>
      <c r="R93" s="635">
        <f t="shared" si="1"/>
        <v>1050000</v>
      </c>
      <c r="S93" s="635">
        <f t="shared" ref="S93:T96" si="38">S94</f>
        <v>950000</v>
      </c>
      <c r="T93" s="635">
        <f t="shared" si="38"/>
        <v>150000</v>
      </c>
      <c r="U93" s="635">
        <f t="shared" si="2"/>
        <v>1100000</v>
      </c>
      <c r="V93" s="635">
        <f t="shared" si="3"/>
        <v>200000</v>
      </c>
      <c r="W93" s="635"/>
      <c r="X93" s="635">
        <f t="shared" si="10"/>
        <v>-50000</v>
      </c>
      <c r="Y93" s="666">
        <f t="shared" si="0"/>
        <v>0.84615384615384615</v>
      </c>
    </row>
    <row r="94" spans="1:25" s="588" customFormat="1" ht="35.25" customHeight="1">
      <c r="A94" s="623">
        <v>7</v>
      </c>
      <c r="B94" s="637" t="s">
        <v>348</v>
      </c>
      <c r="C94" s="637" t="s">
        <v>348</v>
      </c>
      <c r="D94" s="624">
        <v>2</v>
      </c>
      <c r="E94" s="637" t="s">
        <v>365</v>
      </c>
      <c r="F94" s="637" t="s">
        <v>348</v>
      </c>
      <c r="G94" s="624">
        <v>5</v>
      </c>
      <c r="H94" s="624">
        <v>1</v>
      </c>
      <c r="I94" s="637" t="s">
        <v>350</v>
      </c>
      <c r="J94" s="660"/>
      <c r="K94" s="660"/>
      <c r="L94" s="660"/>
      <c r="M94" s="670"/>
      <c r="N94" s="667" t="s">
        <v>377</v>
      </c>
      <c r="O94" s="662">
        <f>O95</f>
        <v>1300000</v>
      </c>
      <c r="P94" s="595">
        <f t="shared" si="37"/>
        <v>950000</v>
      </c>
      <c r="Q94" s="595">
        <f t="shared" si="37"/>
        <v>100000</v>
      </c>
      <c r="R94" s="595">
        <f t="shared" ref="R94:R156" si="39">P94+Q94</f>
        <v>1050000</v>
      </c>
      <c r="S94" s="595">
        <f t="shared" si="38"/>
        <v>950000</v>
      </c>
      <c r="T94" s="595">
        <f t="shared" si="38"/>
        <v>150000</v>
      </c>
      <c r="U94" s="595">
        <f t="shared" ref="U94:U156" si="40">S94+T94</f>
        <v>1100000</v>
      </c>
      <c r="V94" s="595">
        <f t="shared" ref="V94:V141" si="41">O94-U94</f>
        <v>200000</v>
      </c>
      <c r="W94" s="595"/>
      <c r="X94" s="595">
        <f t="shared" si="10"/>
        <v>-50000</v>
      </c>
      <c r="Y94" s="597">
        <f t="shared" ref="Y94:Y157" si="42">U94/O94*100%</f>
        <v>0.84615384615384615</v>
      </c>
    </row>
    <row r="95" spans="1:25" s="588" customFormat="1" ht="35.25" customHeight="1">
      <c r="A95" s="623">
        <v>7</v>
      </c>
      <c r="B95" s="637" t="s">
        <v>348</v>
      </c>
      <c r="C95" s="637" t="s">
        <v>348</v>
      </c>
      <c r="D95" s="624">
        <v>2</v>
      </c>
      <c r="E95" s="637" t="s">
        <v>365</v>
      </c>
      <c r="F95" s="637" t="s">
        <v>348</v>
      </c>
      <c r="G95" s="624">
        <v>5</v>
      </c>
      <c r="H95" s="624">
        <v>1</v>
      </c>
      <c r="I95" s="637" t="s">
        <v>350</v>
      </c>
      <c r="J95" s="672" t="s">
        <v>348</v>
      </c>
      <c r="K95" s="660"/>
      <c r="L95" s="660"/>
      <c r="M95" s="670"/>
      <c r="N95" s="668" t="s">
        <v>378</v>
      </c>
      <c r="O95" s="662">
        <f>O96</f>
        <v>1300000</v>
      </c>
      <c r="P95" s="595">
        <f t="shared" si="37"/>
        <v>950000</v>
      </c>
      <c r="Q95" s="595">
        <f t="shared" si="37"/>
        <v>100000</v>
      </c>
      <c r="R95" s="595">
        <f t="shared" si="39"/>
        <v>1050000</v>
      </c>
      <c r="S95" s="595">
        <f t="shared" si="38"/>
        <v>950000</v>
      </c>
      <c r="T95" s="595">
        <f t="shared" si="38"/>
        <v>150000</v>
      </c>
      <c r="U95" s="595">
        <f t="shared" si="40"/>
        <v>1100000</v>
      </c>
      <c r="V95" s="595">
        <f t="shared" si="41"/>
        <v>200000</v>
      </c>
      <c r="W95" s="595"/>
      <c r="X95" s="595">
        <f t="shared" si="10"/>
        <v>-50000</v>
      </c>
      <c r="Y95" s="597">
        <f t="shared" si="42"/>
        <v>0.84615384615384615</v>
      </c>
    </row>
    <row r="96" spans="1:25" s="588" customFormat="1" ht="35.25" customHeight="1">
      <c r="A96" s="623">
        <v>7</v>
      </c>
      <c r="B96" s="637" t="s">
        <v>348</v>
      </c>
      <c r="C96" s="637" t="s">
        <v>348</v>
      </c>
      <c r="D96" s="624">
        <v>2</v>
      </c>
      <c r="E96" s="637" t="s">
        <v>365</v>
      </c>
      <c r="F96" s="637" t="s">
        <v>348</v>
      </c>
      <c r="G96" s="624">
        <v>5</v>
      </c>
      <c r="H96" s="624">
        <v>1</v>
      </c>
      <c r="I96" s="637" t="s">
        <v>350</v>
      </c>
      <c r="J96" s="672" t="s">
        <v>348</v>
      </c>
      <c r="K96" s="672" t="s">
        <v>348</v>
      </c>
      <c r="L96" s="660"/>
      <c r="M96" s="670"/>
      <c r="N96" s="667" t="s">
        <v>379</v>
      </c>
      <c r="O96" s="662">
        <f>O97</f>
        <v>1300000</v>
      </c>
      <c r="P96" s="595">
        <f t="shared" si="37"/>
        <v>950000</v>
      </c>
      <c r="Q96" s="595">
        <f t="shared" si="37"/>
        <v>100000</v>
      </c>
      <c r="R96" s="595">
        <f t="shared" si="39"/>
        <v>1050000</v>
      </c>
      <c r="S96" s="595">
        <f t="shared" si="38"/>
        <v>950000</v>
      </c>
      <c r="T96" s="595">
        <f t="shared" si="38"/>
        <v>150000</v>
      </c>
      <c r="U96" s="595">
        <f t="shared" si="40"/>
        <v>1100000</v>
      </c>
      <c r="V96" s="595">
        <f t="shared" si="41"/>
        <v>200000</v>
      </c>
      <c r="W96" s="595"/>
      <c r="X96" s="595">
        <f t="shared" si="10"/>
        <v>-50000</v>
      </c>
      <c r="Y96" s="597">
        <f t="shared" si="42"/>
        <v>0.84615384615384615</v>
      </c>
    </row>
    <row r="97" spans="1:31" s="588" customFormat="1" ht="35.25" customHeight="1">
      <c r="A97" s="638">
        <v>7</v>
      </c>
      <c r="B97" s="639" t="s">
        <v>348</v>
      </c>
      <c r="C97" s="639" t="s">
        <v>348</v>
      </c>
      <c r="D97" s="640">
        <v>2</v>
      </c>
      <c r="E97" s="639" t="s">
        <v>365</v>
      </c>
      <c r="F97" s="639" t="s">
        <v>348</v>
      </c>
      <c r="G97" s="640">
        <v>5</v>
      </c>
      <c r="H97" s="640">
        <v>1</v>
      </c>
      <c r="I97" s="639" t="s">
        <v>350</v>
      </c>
      <c r="J97" s="654" t="s">
        <v>348</v>
      </c>
      <c r="K97" s="654" t="s">
        <v>348</v>
      </c>
      <c r="L97" s="654" t="s">
        <v>384</v>
      </c>
      <c r="M97" s="670">
        <v>7</v>
      </c>
      <c r="N97" s="663" t="str">
        <f>'[1]SPJ FUNGSIONAL '!N103</f>
        <v>Belanja Alat/Bahan untuk Kegiatan Kantor-Benda Pos</v>
      </c>
      <c r="O97" s="643">
        <f>'[1]SPJ FUNGSIONAL '!O103</f>
        <v>1300000</v>
      </c>
      <c r="P97" s="644">
        <f>S97</f>
        <v>950000</v>
      </c>
      <c r="Q97" s="644">
        <v>100000</v>
      </c>
      <c r="R97" s="644">
        <f t="shared" si="39"/>
        <v>1050000</v>
      </c>
      <c r="S97" s="644">
        <f>'[1]SPJ FUNGSIONAL '!Y103</f>
        <v>950000</v>
      </c>
      <c r="T97" s="644">
        <f>'[1]SPJ FUNGSIONAL '!Z103</f>
        <v>150000</v>
      </c>
      <c r="U97" s="644">
        <f t="shared" si="40"/>
        <v>1100000</v>
      </c>
      <c r="V97" s="644">
        <f t="shared" si="41"/>
        <v>200000</v>
      </c>
      <c r="W97" s="644"/>
      <c r="X97" s="644">
        <f t="shared" si="10"/>
        <v>-50000</v>
      </c>
      <c r="Y97" s="646">
        <f t="shared" si="42"/>
        <v>0.84615384615384615</v>
      </c>
    </row>
    <row r="98" spans="1:31" s="588" customFormat="1" ht="25" customHeight="1">
      <c r="A98" s="638"/>
      <c r="B98" s="640"/>
      <c r="C98" s="640"/>
      <c r="D98" s="640"/>
      <c r="E98" s="640"/>
      <c r="F98" s="640"/>
      <c r="G98" s="640"/>
      <c r="H98" s="640"/>
      <c r="I98" s="640"/>
      <c r="J98" s="660"/>
      <c r="K98" s="660"/>
      <c r="L98" s="660"/>
      <c r="M98" s="670"/>
      <c r="N98" s="642"/>
      <c r="O98" s="643"/>
      <c r="P98" s="644"/>
      <c r="Q98" s="644"/>
      <c r="R98" s="644">
        <f t="shared" si="39"/>
        <v>0</v>
      </c>
      <c r="S98" s="644"/>
      <c r="T98" s="644"/>
      <c r="U98" s="644">
        <f t="shared" si="40"/>
        <v>0</v>
      </c>
      <c r="V98" s="644">
        <f t="shared" si="41"/>
        <v>0</v>
      </c>
      <c r="W98" s="644">
        <f t="shared" ref="W98:W141" si="43">R98-U98</f>
        <v>0</v>
      </c>
      <c r="X98" s="644">
        <f t="shared" si="10"/>
        <v>0</v>
      </c>
      <c r="Y98" s="646"/>
    </row>
    <row r="99" spans="1:31" s="588" customFormat="1" ht="36.75" customHeight="1">
      <c r="A99" s="629">
        <v>7</v>
      </c>
      <c r="B99" s="630" t="s">
        <v>348</v>
      </c>
      <c r="C99" s="630" t="s">
        <v>348</v>
      </c>
      <c r="D99" s="631">
        <v>2</v>
      </c>
      <c r="E99" s="630" t="s">
        <v>365</v>
      </c>
      <c r="F99" s="630" t="s">
        <v>350</v>
      </c>
      <c r="G99" s="631"/>
      <c r="H99" s="631"/>
      <c r="I99" s="631"/>
      <c r="J99" s="631"/>
      <c r="K99" s="631"/>
      <c r="L99" s="631"/>
      <c r="M99" s="632"/>
      <c r="N99" s="665" t="s">
        <v>416</v>
      </c>
      <c r="O99" s="634">
        <f t="shared" ref="O99:Q100" si="44">O100</f>
        <v>73925832</v>
      </c>
      <c r="P99" s="635">
        <f t="shared" si="44"/>
        <v>47322083</v>
      </c>
      <c r="Q99" s="635">
        <f t="shared" si="44"/>
        <v>5431670</v>
      </c>
      <c r="R99" s="635">
        <f t="shared" si="39"/>
        <v>52753753</v>
      </c>
      <c r="S99" s="635">
        <f>S100</f>
        <v>47302583</v>
      </c>
      <c r="T99" s="635">
        <f>T100</f>
        <v>4493834</v>
      </c>
      <c r="U99" s="635">
        <f t="shared" si="40"/>
        <v>51796417</v>
      </c>
      <c r="V99" s="635">
        <f t="shared" si="41"/>
        <v>22129415</v>
      </c>
      <c r="W99" s="635">
        <f>R99-U99</f>
        <v>957336</v>
      </c>
      <c r="X99" s="635"/>
      <c r="Y99" s="666">
        <f t="shared" si="42"/>
        <v>0.70065382558021128</v>
      </c>
    </row>
    <row r="100" spans="1:31" s="588" customFormat="1" ht="35.25" customHeight="1">
      <c r="A100" s="623">
        <v>7</v>
      </c>
      <c r="B100" s="637" t="s">
        <v>348</v>
      </c>
      <c r="C100" s="637" t="s">
        <v>348</v>
      </c>
      <c r="D100" s="624">
        <v>2</v>
      </c>
      <c r="E100" s="637" t="s">
        <v>365</v>
      </c>
      <c r="F100" s="637" t="s">
        <v>350</v>
      </c>
      <c r="G100" s="624">
        <v>5</v>
      </c>
      <c r="H100" s="624">
        <v>1</v>
      </c>
      <c r="I100" s="637" t="s">
        <v>350</v>
      </c>
      <c r="J100" s="672" t="s">
        <v>350</v>
      </c>
      <c r="K100" s="660"/>
      <c r="L100" s="660"/>
      <c r="M100" s="670"/>
      <c r="N100" s="668" t="s">
        <v>391</v>
      </c>
      <c r="O100" s="662">
        <f t="shared" si="44"/>
        <v>73925832</v>
      </c>
      <c r="P100" s="595">
        <f t="shared" si="44"/>
        <v>47322083</v>
      </c>
      <c r="Q100" s="595">
        <f t="shared" si="44"/>
        <v>5431670</v>
      </c>
      <c r="R100" s="595">
        <f t="shared" si="39"/>
        <v>52753753</v>
      </c>
      <c r="S100" s="595">
        <f>S101</f>
        <v>47302583</v>
      </c>
      <c r="T100" s="595">
        <f>T101</f>
        <v>4493834</v>
      </c>
      <c r="U100" s="595">
        <f t="shared" si="40"/>
        <v>51796417</v>
      </c>
      <c r="V100" s="595">
        <f t="shared" si="41"/>
        <v>22129415</v>
      </c>
      <c r="W100" s="595"/>
      <c r="X100" s="595"/>
      <c r="Y100" s="597">
        <f t="shared" si="42"/>
        <v>0.70065382558021128</v>
      </c>
    </row>
    <row r="101" spans="1:31" s="588" customFormat="1" ht="35.25" customHeight="1">
      <c r="A101" s="623">
        <v>7</v>
      </c>
      <c r="B101" s="637" t="s">
        <v>348</v>
      </c>
      <c r="C101" s="637" t="s">
        <v>348</v>
      </c>
      <c r="D101" s="624">
        <v>2</v>
      </c>
      <c r="E101" s="637" t="s">
        <v>365</v>
      </c>
      <c r="F101" s="637" t="s">
        <v>350</v>
      </c>
      <c r="G101" s="624">
        <v>5</v>
      </c>
      <c r="H101" s="624">
        <v>1</v>
      </c>
      <c r="I101" s="637" t="s">
        <v>350</v>
      </c>
      <c r="J101" s="672" t="s">
        <v>350</v>
      </c>
      <c r="K101" s="672" t="s">
        <v>348</v>
      </c>
      <c r="L101" s="660"/>
      <c r="M101" s="670"/>
      <c r="N101" s="668" t="s">
        <v>392</v>
      </c>
      <c r="O101" s="662">
        <f>SUM(O102:O104)</f>
        <v>73925832</v>
      </c>
      <c r="P101" s="595">
        <f>SUM(P102:P104)</f>
        <v>47322083</v>
      </c>
      <c r="Q101" s="595">
        <f>SUM(Q102:Q104)</f>
        <v>5431670</v>
      </c>
      <c r="R101" s="595">
        <f t="shared" si="39"/>
        <v>52753753</v>
      </c>
      <c r="S101" s="595">
        <f>SUM(S102:S104)</f>
        <v>47302583</v>
      </c>
      <c r="T101" s="595">
        <f>SUM(T102:T104)</f>
        <v>4493834</v>
      </c>
      <c r="U101" s="595">
        <f t="shared" si="40"/>
        <v>51796417</v>
      </c>
      <c r="V101" s="595">
        <f t="shared" si="41"/>
        <v>22129415</v>
      </c>
      <c r="W101" s="680"/>
      <c r="X101" s="595"/>
      <c r="Y101" s="597">
        <f t="shared" si="42"/>
        <v>0.70065382558021128</v>
      </c>
    </row>
    <row r="102" spans="1:31" s="588" customFormat="1" ht="35.25" customHeight="1">
      <c r="A102" s="638">
        <v>7</v>
      </c>
      <c r="B102" s="639" t="s">
        <v>348</v>
      </c>
      <c r="C102" s="639" t="s">
        <v>348</v>
      </c>
      <c r="D102" s="640">
        <v>2</v>
      </c>
      <c r="E102" s="639" t="s">
        <v>365</v>
      </c>
      <c r="F102" s="639" t="s">
        <v>350</v>
      </c>
      <c r="G102" s="640">
        <v>5</v>
      </c>
      <c r="H102" s="640">
        <v>1</v>
      </c>
      <c r="I102" s="639" t="s">
        <v>350</v>
      </c>
      <c r="J102" s="654" t="s">
        <v>350</v>
      </c>
      <c r="K102" s="654" t="s">
        <v>348</v>
      </c>
      <c r="L102" s="654" t="s">
        <v>393</v>
      </c>
      <c r="M102" s="670">
        <v>9</v>
      </c>
      <c r="N102" s="642" t="s">
        <v>418</v>
      </c>
      <c r="O102" s="643">
        <f>'[1]SPJ FUNGSIONAL '!O108</f>
        <v>3692000</v>
      </c>
      <c r="P102" s="644">
        <f>'[2]LRA SP2D'!$R$102</f>
        <v>2341988</v>
      </c>
      <c r="Q102" s="644">
        <v>138644</v>
      </c>
      <c r="R102" s="644">
        <f t="shared" si="39"/>
        <v>2480632</v>
      </c>
      <c r="S102" s="644">
        <f>'[1]SPJ FUNGSIONAL '!Y108</f>
        <v>2341988</v>
      </c>
      <c r="T102" s="644">
        <f>'[1]SPJ FUNGSIONAL '!Z108</f>
        <v>121740</v>
      </c>
      <c r="U102" s="644">
        <f t="shared" si="40"/>
        <v>2463728</v>
      </c>
      <c r="V102" s="644">
        <f t="shared" si="41"/>
        <v>1228272</v>
      </c>
      <c r="W102" s="680">
        <f>R102-U102</f>
        <v>16904</v>
      </c>
      <c r="X102" s="644"/>
      <c r="Y102" s="646">
        <f t="shared" si="42"/>
        <v>0.66731527627302278</v>
      </c>
    </row>
    <row r="103" spans="1:31" s="588" customFormat="1" ht="35.25" customHeight="1">
      <c r="A103" s="638">
        <v>7</v>
      </c>
      <c r="B103" s="639" t="s">
        <v>348</v>
      </c>
      <c r="C103" s="639" t="s">
        <v>348</v>
      </c>
      <c r="D103" s="640">
        <v>2</v>
      </c>
      <c r="E103" s="639" t="s">
        <v>365</v>
      </c>
      <c r="F103" s="639" t="s">
        <v>350</v>
      </c>
      <c r="G103" s="640">
        <v>5</v>
      </c>
      <c r="H103" s="640">
        <v>1</v>
      </c>
      <c r="I103" s="639" t="s">
        <v>350</v>
      </c>
      <c r="J103" s="654" t="s">
        <v>350</v>
      </c>
      <c r="K103" s="654" t="s">
        <v>348</v>
      </c>
      <c r="L103" s="654" t="s">
        <v>419</v>
      </c>
      <c r="M103" s="681" t="s">
        <v>420</v>
      </c>
      <c r="N103" s="642" t="s">
        <v>421</v>
      </c>
      <c r="O103" s="643">
        <f>'[1]SPJ FUNGSIONAL '!O109</f>
        <v>22692000</v>
      </c>
      <c r="P103" s="644">
        <f>'[2]LRA SP2D'!$R$103</f>
        <v>17072800</v>
      </c>
      <c r="Q103" s="644">
        <v>1537100</v>
      </c>
      <c r="R103" s="644">
        <f t="shared" si="39"/>
        <v>18609900</v>
      </c>
      <c r="S103" s="680">
        <f>'[1]SPJ FUNGSIONAL '!Y109</f>
        <v>17053300</v>
      </c>
      <c r="T103" s="680">
        <f>'[1]SPJ FUNGSIONAL '!Z109</f>
        <v>718600</v>
      </c>
      <c r="U103" s="680">
        <f t="shared" si="40"/>
        <v>17771900</v>
      </c>
      <c r="V103" s="680">
        <f t="shared" si="41"/>
        <v>4920100</v>
      </c>
      <c r="W103" s="680">
        <f>R103-U103</f>
        <v>838000</v>
      </c>
      <c r="X103" s="680"/>
      <c r="Y103" s="682">
        <f t="shared" si="42"/>
        <v>0.78317909395381635</v>
      </c>
      <c r="AE103" s="588">
        <f>19500+818500</f>
        <v>838000</v>
      </c>
    </row>
    <row r="104" spans="1:31" s="588" customFormat="1" ht="35.25" customHeight="1">
      <c r="A104" s="638">
        <v>7</v>
      </c>
      <c r="B104" s="639" t="s">
        <v>348</v>
      </c>
      <c r="C104" s="639" t="s">
        <v>348</v>
      </c>
      <c r="D104" s="640">
        <v>2</v>
      </c>
      <c r="E104" s="639" t="s">
        <v>365</v>
      </c>
      <c r="F104" s="639" t="s">
        <v>350</v>
      </c>
      <c r="G104" s="640">
        <v>5</v>
      </c>
      <c r="H104" s="640">
        <v>1</v>
      </c>
      <c r="I104" s="639" t="s">
        <v>350</v>
      </c>
      <c r="J104" s="654" t="s">
        <v>350</v>
      </c>
      <c r="K104" s="654" t="s">
        <v>348</v>
      </c>
      <c r="L104" s="654" t="s">
        <v>419</v>
      </c>
      <c r="M104" s="681" t="s">
        <v>336</v>
      </c>
      <c r="N104" s="642" t="s">
        <v>422</v>
      </c>
      <c r="O104" s="643">
        <f>'[1]SPJ FUNGSIONAL '!O110</f>
        <v>47541832</v>
      </c>
      <c r="P104" s="644">
        <f>'[2]LRA SP2D'!$R$104</f>
        <v>27907295</v>
      </c>
      <c r="Q104" s="644">
        <v>3755926</v>
      </c>
      <c r="R104" s="644">
        <f t="shared" si="39"/>
        <v>31663221</v>
      </c>
      <c r="S104" s="644">
        <f>'[1]SPJ FUNGSIONAL '!Y110</f>
        <v>27907295</v>
      </c>
      <c r="T104" s="644">
        <f>'[1]SPJ FUNGSIONAL '!Z110</f>
        <v>3653494</v>
      </c>
      <c r="U104" s="644">
        <f t="shared" si="40"/>
        <v>31560789</v>
      </c>
      <c r="V104" s="644">
        <f t="shared" si="41"/>
        <v>15981043</v>
      </c>
      <c r="W104" s="680">
        <f>R104-U104</f>
        <v>102432</v>
      </c>
      <c r="X104" s="644"/>
      <c r="Y104" s="646">
        <f t="shared" si="42"/>
        <v>0.66385302526835732</v>
      </c>
    </row>
    <row r="105" spans="1:31" s="588" customFormat="1" ht="25" customHeight="1">
      <c r="A105" s="669"/>
      <c r="B105" s="660"/>
      <c r="C105" s="660"/>
      <c r="D105" s="660"/>
      <c r="E105" s="660"/>
      <c r="F105" s="660"/>
      <c r="G105" s="660"/>
      <c r="H105" s="660"/>
      <c r="I105" s="660"/>
      <c r="J105" s="660"/>
      <c r="K105" s="660"/>
      <c r="L105" s="660"/>
      <c r="M105" s="670"/>
      <c r="N105" s="643"/>
      <c r="O105" s="643"/>
      <c r="P105" s="644"/>
      <c r="Q105" s="644">
        <f t="shared" ref="Q105" si="45">T105</f>
        <v>0</v>
      </c>
      <c r="R105" s="644">
        <f t="shared" si="39"/>
        <v>0</v>
      </c>
      <c r="S105" s="644"/>
      <c r="T105" s="644"/>
      <c r="U105" s="644">
        <f t="shared" si="40"/>
        <v>0</v>
      </c>
      <c r="V105" s="644">
        <f t="shared" si="41"/>
        <v>0</v>
      </c>
      <c r="W105" s="644">
        <f t="shared" si="43"/>
        <v>0</v>
      </c>
      <c r="X105" s="644">
        <f t="shared" ref="X105:X168" si="46">R105-U105</f>
        <v>0</v>
      </c>
      <c r="Y105" s="646"/>
    </row>
    <row r="106" spans="1:31" s="588" customFormat="1" ht="34.5" customHeight="1">
      <c r="A106" s="629">
        <v>7</v>
      </c>
      <c r="B106" s="630" t="s">
        <v>348</v>
      </c>
      <c r="C106" s="630" t="s">
        <v>348</v>
      </c>
      <c r="D106" s="631">
        <v>2</v>
      </c>
      <c r="E106" s="630" t="s">
        <v>365</v>
      </c>
      <c r="F106" s="630" t="s">
        <v>382</v>
      </c>
      <c r="G106" s="631"/>
      <c r="H106" s="631"/>
      <c r="I106" s="631"/>
      <c r="J106" s="631"/>
      <c r="K106" s="631"/>
      <c r="L106" s="631"/>
      <c r="M106" s="632"/>
      <c r="N106" s="665" t="s">
        <v>423</v>
      </c>
      <c r="O106" s="634">
        <f>O107</f>
        <v>974677200</v>
      </c>
      <c r="P106" s="635">
        <f>P107</f>
        <v>802713160</v>
      </c>
      <c r="Q106" s="635">
        <f>Q107</f>
        <v>79577560</v>
      </c>
      <c r="R106" s="635">
        <f t="shared" si="39"/>
        <v>882290720</v>
      </c>
      <c r="S106" s="635">
        <f>S107</f>
        <v>802713160</v>
      </c>
      <c r="T106" s="635">
        <f>T107</f>
        <v>156017560</v>
      </c>
      <c r="U106" s="635">
        <f t="shared" si="40"/>
        <v>958730720</v>
      </c>
      <c r="V106" s="635">
        <f t="shared" si="41"/>
        <v>15946480</v>
      </c>
      <c r="W106" s="635"/>
      <c r="X106" s="635">
        <f t="shared" si="46"/>
        <v>-76440000</v>
      </c>
      <c r="Y106" s="666">
        <f t="shared" si="42"/>
        <v>0.98363921922047626</v>
      </c>
    </row>
    <row r="107" spans="1:31" s="588" customFormat="1" ht="34.5" customHeight="1">
      <c r="A107" s="623">
        <v>7</v>
      </c>
      <c r="B107" s="637" t="s">
        <v>348</v>
      </c>
      <c r="C107" s="637" t="s">
        <v>348</v>
      </c>
      <c r="D107" s="624">
        <v>2</v>
      </c>
      <c r="E107" s="637" t="s">
        <v>365</v>
      </c>
      <c r="F107" s="637" t="s">
        <v>382</v>
      </c>
      <c r="G107" s="624">
        <v>5</v>
      </c>
      <c r="H107" s="624">
        <v>1</v>
      </c>
      <c r="I107" s="637" t="s">
        <v>350</v>
      </c>
      <c r="J107" s="672" t="s">
        <v>350</v>
      </c>
      <c r="K107" s="660"/>
      <c r="L107" s="660"/>
      <c r="M107" s="670"/>
      <c r="N107" s="668" t="s">
        <v>391</v>
      </c>
      <c r="O107" s="662">
        <f>O108+O113</f>
        <v>974677200</v>
      </c>
      <c r="P107" s="595">
        <f>P108+P113</f>
        <v>802713160</v>
      </c>
      <c r="Q107" s="595">
        <f>Q108+Q113</f>
        <v>79577560</v>
      </c>
      <c r="R107" s="595">
        <f t="shared" si="39"/>
        <v>882290720</v>
      </c>
      <c r="S107" s="595">
        <f>S108+S113</f>
        <v>802713160</v>
      </c>
      <c r="T107" s="595">
        <f>T108+T113</f>
        <v>156017560</v>
      </c>
      <c r="U107" s="595">
        <f t="shared" si="40"/>
        <v>958730720</v>
      </c>
      <c r="V107" s="595">
        <f t="shared" si="41"/>
        <v>15946480</v>
      </c>
      <c r="W107" s="595"/>
      <c r="X107" s="595">
        <f t="shared" si="46"/>
        <v>-76440000</v>
      </c>
      <c r="Y107" s="597">
        <f t="shared" si="42"/>
        <v>0.98363921922047626</v>
      </c>
    </row>
    <row r="108" spans="1:31" s="588" customFormat="1" ht="34.5" customHeight="1">
      <c r="A108" s="623">
        <v>7</v>
      </c>
      <c r="B108" s="637" t="s">
        <v>348</v>
      </c>
      <c r="C108" s="637" t="s">
        <v>348</v>
      </c>
      <c r="D108" s="624">
        <v>2</v>
      </c>
      <c r="E108" s="637" t="s">
        <v>365</v>
      </c>
      <c r="F108" s="637" t="s">
        <v>382</v>
      </c>
      <c r="G108" s="624">
        <v>5</v>
      </c>
      <c r="H108" s="624">
        <v>1</v>
      </c>
      <c r="I108" s="637" t="s">
        <v>350</v>
      </c>
      <c r="J108" s="672" t="s">
        <v>350</v>
      </c>
      <c r="K108" s="672" t="s">
        <v>348</v>
      </c>
      <c r="L108" s="660"/>
      <c r="M108" s="670"/>
      <c r="N108" s="668" t="s">
        <v>392</v>
      </c>
      <c r="O108" s="662">
        <f>SUM(O109:O112)</f>
        <v>968560000</v>
      </c>
      <c r="P108" s="595">
        <f>SUM(P109:P112)</f>
        <v>797240000</v>
      </c>
      <c r="Q108" s="595">
        <f>SUM(Q109:Q112)</f>
        <v>79080000</v>
      </c>
      <c r="R108" s="595">
        <f t="shared" si="39"/>
        <v>876320000</v>
      </c>
      <c r="S108" s="595">
        <f>SUM(S109:S112)</f>
        <v>797240000</v>
      </c>
      <c r="T108" s="595">
        <f>SUM(T109:T112)</f>
        <v>155520000</v>
      </c>
      <c r="U108" s="595">
        <f t="shared" si="40"/>
        <v>952760000</v>
      </c>
      <c r="V108" s="595">
        <f t="shared" si="41"/>
        <v>15800000</v>
      </c>
      <c r="W108" s="595"/>
      <c r="X108" s="595">
        <f t="shared" si="46"/>
        <v>-76440000</v>
      </c>
      <c r="Y108" s="597">
        <f t="shared" si="42"/>
        <v>0.98368712315189555</v>
      </c>
    </row>
    <row r="109" spans="1:31" s="588" customFormat="1" ht="34.5" customHeight="1">
      <c r="A109" s="638">
        <v>7</v>
      </c>
      <c r="B109" s="639" t="s">
        <v>348</v>
      </c>
      <c r="C109" s="639" t="s">
        <v>348</v>
      </c>
      <c r="D109" s="640">
        <v>2</v>
      </c>
      <c r="E109" s="639" t="s">
        <v>365</v>
      </c>
      <c r="F109" s="639" t="s">
        <v>382</v>
      </c>
      <c r="G109" s="640">
        <v>5</v>
      </c>
      <c r="H109" s="640">
        <v>1</v>
      </c>
      <c r="I109" s="639" t="s">
        <v>350</v>
      </c>
      <c r="J109" s="654" t="s">
        <v>350</v>
      </c>
      <c r="K109" s="654" t="s">
        <v>348</v>
      </c>
      <c r="L109" s="654" t="s">
        <v>384</v>
      </c>
      <c r="M109" s="670">
        <v>6</v>
      </c>
      <c r="N109" s="642" t="str">
        <f>'[1]SPJ FUNGSIONAL '!N115</f>
        <v xml:space="preserve">Belanja Jasa Tenaga Administrasi </v>
      </c>
      <c r="O109" s="643">
        <f>'[1]SPJ FUNGSIONAL '!O115</f>
        <v>389900000</v>
      </c>
      <c r="P109" s="644">
        <f>'[2]LRA SP2D'!$R$109</f>
        <v>321700000</v>
      </c>
      <c r="Q109" s="644">
        <v>33000000</v>
      </c>
      <c r="R109" s="644">
        <f t="shared" si="39"/>
        <v>354700000</v>
      </c>
      <c r="S109" s="644">
        <f>'[1]SPJ FUNGSIONAL '!Y115</f>
        <v>321700000</v>
      </c>
      <c r="T109" s="644">
        <f>'[1]SPJ FUNGSIONAL '!Z115</f>
        <v>64400000</v>
      </c>
      <c r="U109" s="644">
        <f t="shared" si="40"/>
        <v>386100000</v>
      </c>
      <c r="V109" s="644">
        <f t="shared" si="41"/>
        <v>3800000</v>
      </c>
      <c r="W109" s="644"/>
      <c r="X109" s="644">
        <f t="shared" si="46"/>
        <v>-31400000</v>
      </c>
      <c r="Y109" s="646">
        <f t="shared" si="42"/>
        <v>0.99025391125929729</v>
      </c>
    </row>
    <row r="110" spans="1:31" s="588" customFormat="1" ht="34.5" customHeight="1">
      <c r="A110" s="638">
        <v>7</v>
      </c>
      <c r="B110" s="639" t="s">
        <v>348</v>
      </c>
      <c r="C110" s="639" t="s">
        <v>348</v>
      </c>
      <c r="D110" s="640">
        <v>2</v>
      </c>
      <c r="E110" s="639" t="s">
        <v>365</v>
      </c>
      <c r="F110" s="639" t="s">
        <v>382</v>
      </c>
      <c r="G110" s="640">
        <v>5</v>
      </c>
      <c r="H110" s="640">
        <v>1</v>
      </c>
      <c r="I110" s="639" t="s">
        <v>350</v>
      </c>
      <c r="J110" s="654" t="s">
        <v>350</v>
      </c>
      <c r="K110" s="654" t="s">
        <v>348</v>
      </c>
      <c r="L110" s="654" t="s">
        <v>380</v>
      </c>
      <c r="M110" s="681" t="s">
        <v>420</v>
      </c>
      <c r="N110" s="642" t="str">
        <f>'[1]SPJ FUNGSIONAL '!N116</f>
        <v xml:space="preserve">Belanja Jasa Tenaga Kebersihan </v>
      </c>
      <c r="O110" s="643">
        <f>'[1]SPJ FUNGSIONAL '!O116</f>
        <v>228080000</v>
      </c>
      <c r="P110" s="644">
        <f>'[2]LRA SP2D'!$R$110</f>
        <v>182160000</v>
      </c>
      <c r="Q110" s="644">
        <v>18240000</v>
      </c>
      <c r="R110" s="644">
        <f t="shared" si="39"/>
        <v>200400000</v>
      </c>
      <c r="S110" s="644">
        <f>'[1]SPJ FUNGSIONAL '!Y116</f>
        <v>182160000</v>
      </c>
      <c r="T110" s="644">
        <f>'[1]SPJ FUNGSIONAL '!Z116</f>
        <v>34800000</v>
      </c>
      <c r="U110" s="644">
        <f t="shared" si="40"/>
        <v>216960000</v>
      </c>
      <c r="V110" s="644">
        <f t="shared" si="41"/>
        <v>11120000</v>
      </c>
      <c r="W110" s="644"/>
      <c r="X110" s="644">
        <f t="shared" si="46"/>
        <v>-16560000</v>
      </c>
      <c r="Y110" s="646">
        <f t="shared" si="42"/>
        <v>0.95124517713083123</v>
      </c>
    </row>
    <row r="111" spans="1:31" s="588" customFormat="1" ht="34.5" customHeight="1">
      <c r="A111" s="638">
        <v>7</v>
      </c>
      <c r="B111" s="639" t="s">
        <v>348</v>
      </c>
      <c r="C111" s="639" t="s">
        <v>348</v>
      </c>
      <c r="D111" s="640">
        <v>2</v>
      </c>
      <c r="E111" s="639" t="s">
        <v>365</v>
      </c>
      <c r="F111" s="639" t="s">
        <v>382</v>
      </c>
      <c r="G111" s="640">
        <v>5</v>
      </c>
      <c r="H111" s="640">
        <v>1</v>
      </c>
      <c r="I111" s="639" t="s">
        <v>350</v>
      </c>
      <c r="J111" s="654" t="s">
        <v>350</v>
      </c>
      <c r="K111" s="654" t="s">
        <v>348</v>
      </c>
      <c r="L111" s="654" t="s">
        <v>380</v>
      </c>
      <c r="M111" s="681" t="s">
        <v>336</v>
      </c>
      <c r="N111" s="642" t="str">
        <f>'[1]SPJ FUNGSIONAL '!N117</f>
        <v xml:space="preserve">Belanja Jasa Tenaga Keamanan </v>
      </c>
      <c r="O111" s="643">
        <f>'[1]SPJ FUNGSIONAL '!O117</f>
        <v>305500000</v>
      </c>
      <c r="P111" s="644">
        <f>'[2]LRA SP2D'!$R$111</f>
        <v>256060000</v>
      </c>
      <c r="Q111" s="644">
        <v>24000000</v>
      </c>
      <c r="R111" s="644">
        <f t="shared" si="39"/>
        <v>280060000</v>
      </c>
      <c r="S111" s="644">
        <f>'[1]SPJ FUNGSIONAL '!Y117</f>
        <v>256060000</v>
      </c>
      <c r="T111" s="644">
        <f>'[1]SPJ FUNGSIONAL '!Z117</f>
        <v>48800000</v>
      </c>
      <c r="U111" s="644">
        <f t="shared" si="40"/>
        <v>304860000</v>
      </c>
      <c r="V111" s="644">
        <f t="shared" si="41"/>
        <v>640000</v>
      </c>
      <c r="W111" s="644"/>
      <c r="X111" s="644">
        <f t="shared" si="46"/>
        <v>-24800000</v>
      </c>
      <c r="Y111" s="646">
        <f t="shared" si="42"/>
        <v>0.99790507364975445</v>
      </c>
    </row>
    <row r="112" spans="1:31" s="588" customFormat="1" ht="34.5" customHeight="1">
      <c r="A112" s="638">
        <v>7</v>
      </c>
      <c r="B112" s="639" t="s">
        <v>348</v>
      </c>
      <c r="C112" s="639" t="s">
        <v>348</v>
      </c>
      <c r="D112" s="640">
        <v>2</v>
      </c>
      <c r="E112" s="639" t="s">
        <v>365</v>
      </c>
      <c r="F112" s="639" t="s">
        <v>382</v>
      </c>
      <c r="G112" s="640">
        <v>5</v>
      </c>
      <c r="H112" s="640">
        <v>1</v>
      </c>
      <c r="I112" s="639" t="s">
        <v>350</v>
      </c>
      <c r="J112" s="654" t="s">
        <v>350</v>
      </c>
      <c r="K112" s="654" t="s">
        <v>348</v>
      </c>
      <c r="L112" s="654" t="s">
        <v>380</v>
      </c>
      <c r="M112" s="681" t="s">
        <v>337</v>
      </c>
      <c r="N112" s="642" t="str">
        <f>'[1]SPJ FUNGSIONAL '!N118</f>
        <v xml:space="preserve">Belanja Jasa Tenaga Sopir </v>
      </c>
      <c r="O112" s="643">
        <f>'[1]SPJ FUNGSIONAL '!O118</f>
        <v>45080000</v>
      </c>
      <c r="P112" s="644">
        <f>'[2]LRA SP2D'!$R$112</f>
        <v>37320000</v>
      </c>
      <c r="Q112" s="644">
        <v>3840000</v>
      </c>
      <c r="R112" s="644">
        <f t="shared" si="39"/>
        <v>41160000</v>
      </c>
      <c r="S112" s="644">
        <f>'[1]SPJ FUNGSIONAL '!Y118</f>
        <v>37320000</v>
      </c>
      <c r="T112" s="644">
        <f>'[1]SPJ FUNGSIONAL '!Z118</f>
        <v>7520000</v>
      </c>
      <c r="U112" s="644">
        <f t="shared" si="40"/>
        <v>44840000</v>
      </c>
      <c r="V112" s="644">
        <f t="shared" si="41"/>
        <v>240000</v>
      </c>
      <c r="W112" s="644"/>
      <c r="X112" s="644">
        <f t="shared" si="46"/>
        <v>-3680000</v>
      </c>
      <c r="Y112" s="646">
        <f t="shared" si="42"/>
        <v>0.99467613132209409</v>
      </c>
    </row>
    <row r="113" spans="1:29" s="588" customFormat="1" ht="34.5" customHeight="1">
      <c r="A113" s="623">
        <v>7</v>
      </c>
      <c r="B113" s="637" t="s">
        <v>348</v>
      </c>
      <c r="C113" s="637" t="s">
        <v>348</v>
      </c>
      <c r="D113" s="624">
        <v>2</v>
      </c>
      <c r="E113" s="637" t="s">
        <v>365</v>
      </c>
      <c r="F113" s="637" t="s">
        <v>382</v>
      </c>
      <c r="G113" s="624">
        <v>5</v>
      </c>
      <c r="H113" s="624">
        <v>1</v>
      </c>
      <c r="I113" s="637" t="s">
        <v>350</v>
      </c>
      <c r="J113" s="672" t="s">
        <v>350</v>
      </c>
      <c r="K113" s="672" t="s">
        <v>350</v>
      </c>
      <c r="L113" s="660"/>
      <c r="M113" s="670"/>
      <c r="N113" s="668" t="s">
        <v>428</v>
      </c>
      <c r="O113" s="662">
        <f>O114+O115</f>
        <v>6117200</v>
      </c>
      <c r="P113" s="595">
        <f>P114+P115</f>
        <v>5473160</v>
      </c>
      <c r="Q113" s="595">
        <f>Q114+Q115</f>
        <v>497560</v>
      </c>
      <c r="R113" s="595">
        <f t="shared" si="39"/>
        <v>5970720</v>
      </c>
      <c r="S113" s="595">
        <f>S114+S115</f>
        <v>5473160</v>
      </c>
      <c r="T113" s="595">
        <f>T114+T115</f>
        <v>497560</v>
      </c>
      <c r="U113" s="595">
        <f t="shared" si="40"/>
        <v>5970720</v>
      </c>
      <c r="V113" s="595">
        <f t="shared" si="41"/>
        <v>146480</v>
      </c>
      <c r="W113" s="595"/>
      <c r="X113" s="595">
        <f t="shared" si="46"/>
        <v>0</v>
      </c>
      <c r="Y113" s="597">
        <f t="shared" si="42"/>
        <v>0.97605440397567511</v>
      </c>
    </row>
    <row r="114" spans="1:29" s="588" customFormat="1" ht="34.5" customHeight="1">
      <c r="A114" s="638">
        <v>7</v>
      </c>
      <c r="B114" s="639" t="s">
        <v>348</v>
      </c>
      <c r="C114" s="639" t="s">
        <v>348</v>
      </c>
      <c r="D114" s="640">
        <v>2</v>
      </c>
      <c r="E114" s="639" t="s">
        <v>365</v>
      </c>
      <c r="F114" s="639" t="s">
        <v>382</v>
      </c>
      <c r="G114" s="640">
        <v>5</v>
      </c>
      <c r="H114" s="640">
        <v>1</v>
      </c>
      <c r="I114" s="639" t="s">
        <v>350</v>
      </c>
      <c r="J114" s="654" t="s">
        <v>350</v>
      </c>
      <c r="K114" s="654" t="s">
        <v>350</v>
      </c>
      <c r="L114" s="654" t="s">
        <v>354</v>
      </c>
      <c r="M114" s="681" t="s">
        <v>429</v>
      </c>
      <c r="N114" s="642" t="str">
        <f>'[1]SPJ FUNGSIONAL '!N120</f>
        <v xml:space="preserve">Belanja Iuran Jaminan Kecelakaan Kerja Bagi Non PNS </v>
      </c>
      <c r="O114" s="643">
        <f>'[1]SPJ FUNGSIONAL '!O120</f>
        <v>2726400</v>
      </c>
      <c r="P114" s="644">
        <f>'[2]LRA SP2D'!$R$114</f>
        <v>2439360</v>
      </c>
      <c r="Q114" s="644">
        <v>221760</v>
      </c>
      <c r="R114" s="644">
        <f t="shared" si="39"/>
        <v>2661120</v>
      </c>
      <c r="S114" s="644">
        <f>'[1]SPJ FUNGSIONAL '!Y120</f>
        <v>2439360</v>
      </c>
      <c r="T114" s="644">
        <f>'[1]SPJ FUNGSIONAL '!Z120</f>
        <v>221760</v>
      </c>
      <c r="U114" s="644">
        <f t="shared" si="40"/>
        <v>2661120</v>
      </c>
      <c r="V114" s="644">
        <f t="shared" si="41"/>
        <v>65280</v>
      </c>
      <c r="W114" s="644"/>
      <c r="X114" s="644">
        <f t="shared" si="46"/>
        <v>0</v>
      </c>
      <c r="Y114" s="646">
        <f t="shared" si="42"/>
        <v>0.97605633802816905</v>
      </c>
    </row>
    <row r="115" spans="1:29" s="588" customFormat="1" ht="34.5" customHeight="1">
      <c r="A115" s="638">
        <v>7</v>
      </c>
      <c r="B115" s="639" t="s">
        <v>348</v>
      </c>
      <c r="C115" s="639" t="s">
        <v>348</v>
      </c>
      <c r="D115" s="640">
        <v>2</v>
      </c>
      <c r="E115" s="639" t="s">
        <v>365</v>
      </c>
      <c r="F115" s="639" t="s">
        <v>382</v>
      </c>
      <c r="G115" s="640">
        <v>5</v>
      </c>
      <c r="H115" s="640">
        <v>1</v>
      </c>
      <c r="I115" s="639" t="s">
        <v>350</v>
      </c>
      <c r="J115" s="654" t="s">
        <v>350</v>
      </c>
      <c r="K115" s="654" t="s">
        <v>350</v>
      </c>
      <c r="L115" s="654" t="s">
        <v>354</v>
      </c>
      <c r="M115" s="681" t="s">
        <v>341</v>
      </c>
      <c r="N115" s="642" t="str">
        <f>'[1]SPJ FUNGSIONAL '!N121</f>
        <v xml:space="preserve">Belanja Iuran Jaminan Kematian Bagi Non PNS </v>
      </c>
      <c r="O115" s="643">
        <f>'[1]SPJ FUNGSIONAL '!O121</f>
        <v>3390800</v>
      </c>
      <c r="P115" s="644">
        <f>'[2]LRA SP2D'!$R$115</f>
        <v>3033800</v>
      </c>
      <c r="Q115" s="644">
        <v>275800</v>
      </c>
      <c r="R115" s="644">
        <f t="shared" si="39"/>
        <v>3309600</v>
      </c>
      <c r="S115" s="644">
        <f>'[1]SPJ FUNGSIONAL '!Y121</f>
        <v>3033800</v>
      </c>
      <c r="T115" s="644">
        <f>'[1]SPJ FUNGSIONAL '!Z121</f>
        <v>275800</v>
      </c>
      <c r="U115" s="644">
        <f t="shared" si="40"/>
        <v>3309600</v>
      </c>
      <c r="V115" s="644">
        <f t="shared" si="41"/>
        <v>81200</v>
      </c>
      <c r="W115" s="644"/>
      <c r="X115" s="644">
        <f t="shared" si="46"/>
        <v>0</v>
      </c>
      <c r="Y115" s="646">
        <f t="shared" si="42"/>
        <v>0.97605284888521882</v>
      </c>
    </row>
    <row r="116" spans="1:29" s="588" customFormat="1" ht="25" customHeight="1">
      <c r="A116" s="638"/>
      <c r="B116" s="640"/>
      <c r="C116" s="640"/>
      <c r="D116" s="640"/>
      <c r="E116" s="640"/>
      <c r="F116" s="640"/>
      <c r="G116" s="640"/>
      <c r="H116" s="640"/>
      <c r="I116" s="640"/>
      <c r="J116" s="660"/>
      <c r="K116" s="660"/>
      <c r="L116" s="660"/>
      <c r="M116" s="670"/>
      <c r="N116" s="642"/>
      <c r="O116" s="643"/>
      <c r="P116" s="644"/>
      <c r="Q116" s="644"/>
      <c r="R116" s="644">
        <f t="shared" si="39"/>
        <v>0</v>
      </c>
      <c r="S116" s="644"/>
      <c r="T116" s="644"/>
      <c r="U116" s="644">
        <f t="shared" si="40"/>
        <v>0</v>
      </c>
      <c r="V116" s="644">
        <f t="shared" si="41"/>
        <v>0</v>
      </c>
      <c r="W116" s="644">
        <f t="shared" si="43"/>
        <v>0</v>
      </c>
      <c r="X116" s="644">
        <f t="shared" si="46"/>
        <v>0</v>
      </c>
      <c r="Y116" s="646"/>
    </row>
    <row r="117" spans="1:29" s="588" customFormat="1" ht="52.5" customHeight="1">
      <c r="A117" s="614">
        <v>7</v>
      </c>
      <c r="B117" s="615" t="s">
        <v>348</v>
      </c>
      <c r="C117" s="615" t="s">
        <v>348</v>
      </c>
      <c r="D117" s="616">
        <v>2</v>
      </c>
      <c r="E117" s="615" t="s">
        <v>367</v>
      </c>
      <c r="F117" s="616"/>
      <c r="G117" s="616"/>
      <c r="H117" s="616"/>
      <c r="I117" s="616"/>
      <c r="J117" s="616"/>
      <c r="K117" s="616"/>
      <c r="L117" s="616"/>
      <c r="M117" s="617"/>
      <c r="N117" s="618" t="s">
        <v>432</v>
      </c>
      <c r="O117" s="619">
        <f t="shared" ref="O117:V117" si="47">O119+O133+O142</f>
        <v>487453834</v>
      </c>
      <c r="P117" s="683">
        <f t="shared" si="47"/>
        <v>388607267.19999999</v>
      </c>
      <c r="Q117" s="683">
        <f>Q119+Q133+Q142</f>
        <v>23813600</v>
      </c>
      <c r="R117" s="683">
        <f t="shared" si="47"/>
        <v>412420867.19999999</v>
      </c>
      <c r="S117" s="683">
        <f t="shared" si="47"/>
        <v>388607267.19999999</v>
      </c>
      <c r="T117" s="683">
        <f t="shared" si="47"/>
        <v>61782100</v>
      </c>
      <c r="U117" s="683">
        <f t="shared" si="47"/>
        <v>450389367.19999999</v>
      </c>
      <c r="V117" s="683">
        <f t="shared" si="47"/>
        <v>37064466.800000012</v>
      </c>
      <c r="W117" s="620">
        <f>W119</f>
        <v>2000</v>
      </c>
      <c r="X117" s="620">
        <f>R117-U117</f>
        <v>-37968500</v>
      </c>
      <c r="Y117" s="621">
        <f t="shared" si="42"/>
        <v>0.9239631238596433</v>
      </c>
    </row>
    <row r="118" spans="1:29" s="588" customFormat="1" ht="25" customHeight="1">
      <c r="A118" s="623"/>
      <c r="B118" s="624"/>
      <c r="C118" s="624"/>
      <c r="D118" s="624"/>
      <c r="E118" s="624"/>
      <c r="F118" s="624"/>
      <c r="G118" s="624"/>
      <c r="H118" s="624"/>
      <c r="I118" s="624"/>
      <c r="J118" s="624"/>
      <c r="K118" s="624"/>
      <c r="L118" s="624"/>
      <c r="M118" s="625"/>
      <c r="N118" s="667"/>
      <c r="O118" s="627"/>
      <c r="P118" s="644"/>
      <c r="Q118" s="644"/>
      <c r="R118" s="644">
        <f t="shared" si="39"/>
        <v>0</v>
      </c>
      <c r="S118" s="644"/>
      <c r="T118" s="644"/>
      <c r="U118" s="644">
        <f t="shared" si="40"/>
        <v>0</v>
      </c>
      <c r="V118" s="644">
        <f t="shared" si="41"/>
        <v>0</v>
      </c>
      <c r="W118" s="644">
        <f t="shared" si="43"/>
        <v>0</v>
      </c>
      <c r="X118" s="644">
        <f t="shared" si="46"/>
        <v>0</v>
      </c>
      <c r="Y118" s="646"/>
    </row>
    <row r="119" spans="1:29" s="588" customFormat="1" ht="70.5" customHeight="1">
      <c r="A119" s="629">
        <v>7</v>
      </c>
      <c r="B119" s="630" t="s">
        <v>348</v>
      </c>
      <c r="C119" s="630" t="s">
        <v>348</v>
      </c>
      <c r="D119" s="631">
        <v>2</v>
      </c>
      <c r="E119" s="630" t="s">
        <v>367</v>
      </c>
      <c r="F119" s="630" t="s">
        <v>350</v>
      </c>
      <c r="G119" s="631"/>
      <c r="H119" s="631"/>
      <c r="I119" s="631"/>
      <c r="J119" s="631"/>
      <c r="K119" s="631"/>
      <c r="L119" s="631"/>
      <c r="M119" s="632"/>
      <c r="N119" s="665" t="s">
        <v>433</v>
      </c>
      <c r="O119" s="634">
        <f>O120</f>
        <v>152590770</v>
      </c>
      <c r="P119" s="634">
        <f t="shared" ref="P119:Q119" si="48">P120</f>
        <v>117801125</v>
      </c>
      <c r="Q119" s="634">
        <f t="shared" si="48"/>
        <v>9761400</v>
      </c>
      <c r="R119" s="635">
        <f t="shared" si="39"/>
        <v>127562525</v>
      </c>
      <c r="S119" s="634">
        <f t="shared" ref="S119:T119" si="49">S120</f>
        <v>117801125</v>
      </c>
      <c r="T119" s="634">
        <f t="shared" si="49"/>
        <v>12570900</v>
      </c>
      <c r="U119" s="635">
        <f t="shared" si="40"/>
        <v>130372025</v>
      </c>
      <c r="V119" s="635">
        <f t="shared" si="41"/>
        <v>22218745</v>
      </c>
      <c r="W119" s="635">
        <f>W131</f>
        <v>2000</v>
      </c>
      <c r="X119" s="635">
        <f t="shared" si="46"/>
        <v>-2809500</v>
      </c>
      <c r="Y119" s="666">
        <f t="shared" si="42"/>
        <v>0.85438998046867454</v>
      </c>
    </row>
    <row r="120" spans="1:29" s="588" customFormat="1" ht="43.5" customHeight="1">
      <c r="A120" s="623">
        <v>7</v>
      </c>
      <c r="B120" s="637" t="s">
        <v>348</v>
      </c>
      <c r="C120" s="637" t="s">
        <v>348</v>
      </c>
      <c r="D120" s="624">
        <v>2</v>
      </c>
      <c r="E120" s="637" t="s">
        <v>367</v>
      </c>
      <c r="F120" s="637" t="s">
        <v>350</v>
      </c>
      <c r="G120" s="624">
        <v>5</v>
      </c>
      <c r="H120" s="624">
        <v>1</v>
      </c>
      <c r="I120" s="637" t="s">
        <v>350</v>
      </c>
      <c r="J120" s="673"/>
      <c r="K120" s="660"/>
      <c r="L120" s="660"/>
      <c r="M120" s="670"/>
      <c r="N120" s="668" t="s">
        <v>377</v>
      </c>
      <c r="O120" s="662">
        <f>O121+O125+O128</f>
        <v>152590770</v>
      </c>
      <c r="P120" s="662">
        <f t="shared" ref="P120:Q120" si="50">P121+P125+P128</f>
        <v>117801125</v>
      </c>
      <c r="Q120" s="662">
        <f t="shared" si="50"/>
        <v>9761400</v>
      </c>
      <c r="R120" s="595">
        <f t="shared" si="39"/>
        <v>127562525</v>
      </c>
      <c r="S120" s="662">
        <f t="shared" ref="S120:T120" si="51">S121+S125+S128</f>
        <v>117801125</v>
      </c>
      <c r="T120" s="662">
        <f t="shared" si="51"/>
        <v>12570900</v>
      </c>
      <c r="U120" s="595">
        <f t="shared" si="40"/>
        <v>130372025</v>
      </c>
      <c r="V120" s="595">
        <f t="shared" si="41"/>
        <v>22218745</v>
      </c>
      <c r="W120" s="595"/>
      <c r="X120" s="595">
        <f t="shared" si="46"/>
        <v>-2809500</v>
      </c>
      <c r="Y120" s="597">
        <f t="shared" si="42"/>
        <v>0.85438998046867454</v>
      </c>
    </row>
    <row r="121" spans="1:29" s="588" customFormat="1" ht="43.5" customHeight="1">
      <c r="A121" s="623">
        <v>7</v>
      </c>
      <c r="B121" s="637" t="s">
        <v>348</v>
      </c>
      <c r="C121" s="637" t="s">
        <v>348</v>
      </c>
      <c r="D121" s="624">
        <v>2</v>
      </c>
      <c r="E121" s="637" t="s">
        <v>367</v>
      </c>
      <c r="F121" s="637" t="s">
        <v>350</v>
      </c>
      <c r="G121" s="624">
        <v>5</v>
      </c>
      <c r="H121" s="624">
        <v>1</v>
      </c>
      <c r="I121" s="637" t="s">
        <v>350</v>
      </c>
      <c r="J121" s="672" t="s">
        <v>348</v>
      </c>
      <c r="K121" s="660"/>
      <c r="L121" s="660"/>
      <c r="M121" s="670"/>
      <c r="N121" s="668" t="s">
        <v>398</v>
      </c>
      <c r="O121" s="662">
        <f t="shared" ref="O121:T121" si="52">O122</f>
        <v>88805770</v>
      </c>
      <c r="P121" s="662">
        <f t="shared" si="52"/>
        <v>80761025</v>
      </c>
      <c r="Q121" s="662">
        <f t="shared" si="52"/>
        <v>6151950</v>
      </c>
      <c r="R121" s="595">
        <f t="shared" si="39"/>
        <v>86912975</v>
      </c>
      <c r="S121" s="662">
        <f t="shared" si="52"/>
        <v>80761025</v>
      </c>
      <c r="T121" s="662">
        <f t="shared" si="52"/>
        <v>6151950</v>
      </c>
      <c r="U121" s="595">
        <f t="shared" si="40"/>
        <v>86912975</v>
      </c>
      <c r="V121" s="595">
        <f t="shared" si="41"/>
        <v>1892795</v>
      </c>
      <c r="W121" s="595"/>
      <c r="X121" s="595">
        <f t="shared" si="46"/>
        <v>0</v>
      </c>
      <c r="Y121" s="597">
        <f t="shared" si="42"/>
        <v>0.97868612591276449</v>
      </c>
      <c r="AC121" s="588">
        <v>1087886</v>
      </c>
    </row>
    <row r="122" spans="1:29" s="588" customFormat="1" ht="43.5" customHeight="1">
      <c r="A122" s="638">
        <v>7</v>
      </c>
      <c r="B122" s="639" t="s">
        <v>348</v>
      </c>
      <c r="C122" s="639" t="s">
        <v>348</v>
      </c>
      <c r="D122" s="640">
        <v>2</v>
      </c>
      <c r="E122" s="639" t="s">
        <v>367</v>
      </c>
      <c r="F122" s="639" t="s">
        <v>350</v>
      </c>
      <c r="G122" s="640">
        <v>5</v>
      </c>
      <c r="H122" s="640">
        <v>1</v>
      </c>
      <c r="I122" s="639" t="s">
        <v>350</v>
      </c>
      <c r="J122" s="654" t="s">
        <v>348</v>
      </c>
      <c r="K122" s="654" t="s">
        <v>348</v>
      </c>
      <c r="L122" s="660"/>
      <c r="M122" s="670"/>
      <c r="N122" s="667" t="s">
        <v>379</v>
      </c>
      <c r="O122" s="662">
        <f>O123+O124</f>
        <v>88805770</v>
      </c>
      <c r="P122" s="595">
        <f>P123+P124</f>
        <v>80761025</v>
      </c>
      <c r="Q122" s="595">
        <f>Q123+Q124</f>
        <v>6151950</v>
      </c>
      <c r="R122" s="595">
        <f t="shared" si="39"/>
        <v>86912975</v>
      </c>
      <c r="S122" s="595">
        <f>S123+S124</f>
        <v>80761025</v>
      </c>
      <c r="T122" s="595">
        <f>T123+T124</f>
        <v>6151950</v>
      </c>
      <c r="U122" s="595">
        <f t="shared" si="40"/>
        <v>86912975</v>
      </c>
      <c r="V122" s="595">
        <f t="shared" si="41"/>
        <v>1892795</v>
      </c>
      <c r="W122" s="595"/>
      <c r="X122" s="595">
        <f t="shared" si="46"/>
        <v>0</v>
      </c>
      <c r="Y122" s="597">
        <f t="shared" si="42"/>
        <v>0.97868612591276449</v>
      </c>
      <c r="AC122" s="588">
        <f>7538560</f>
        <v>7538560</v>
      </c>
    </row>
    <row r="123" spans="1:29" s="588" customFormat="1" ht="43.5" customHeight="1">
      <c r="A123" s="638">
        <v>7</v>
      </c>
      <c r="B123" s="639" t="s">
        <v>348</v>
      </c>
      <c r="C123" s="639" t="s">
        <v>348</v>
      </c>
      <c r="D123" s="640">
        <v>2</v>
      </c>
      <c r="E123" s="639" t="s">
        <v>367</v>
      </c>
      <c r="F123" s="639" t="s">
        <v>350</v>
      </c>
      <c r="G123" s="640">
        <v>5</v>
      </c>
      <c r="H123" s="640">
        <v>1</v>
      </c>
      <c r="I123" s="639" t="s">
        <v>350</v>
      </c>
      <c r="J123" s="654" t="s">
        <v>348</v>
      </c>
      <c r="K123" s="654" t="s">
        <v>348</v>
      </c>
      <c r="L123" s="654" t="s">
        <v>354</v>
      </c>
      <c r="M123" s="681" t="s">
        <v>338</v>
      </c>
      <c r="N123" s="642" t="str">
        <f>'[1]SPJ FUNGSIONAL '!N130</f>
        <v>Belanja Bahan-Bahan Bakar dan Pelumas</v>
      </c>
      <c r="O123" s="643">
        <f>'[1]SPJ FUNGSIONAL '!O130</f>
        <v>88545970</v>
      </c>
      <c r="P123" s="644">
        <f>'[2]LRA SP2D'!$R$123</f>
        <v>80511025</v>
      </c>
      <c r="Q123" s="644">
        <v>6151950</v>
      </c>
      <c r="R123" s="644">
        <f t="shared" si="39"/>
        <v>86662975</v>
      </c>
      <c r="S123" s="644">
        <f>'[1]SPJ FUNGSIONAL '!Y130</f>
        <v>80511025</v>
      </c>
      <c r="T123" s="644">
        <f>'[1]SPJ FUNGSIONAL '!Z130</f>
        <v>6151950</v>
      </c>
      <c r="U123" s="644">
        <f t="shared" si="40"/>
        <v>86662975</v>
      </c>
      <c r="V123" s="644">
        <f t="shared" si="41"/>
        <v>1882995</v>
      </c>
      <c r="W123" s="644"/>
      <c r="X123" s="644">
        <f t="shared" si="46"/>
        <v>0</v>
      </c>
      <c r="Y123" s="646">
        <f t="shared" si="42"/>
        <v>0.97873426650586126</v>
      </c>
      <c r="AC123" s="588">
        <f>SUM(AC121:AC122)</f>
        <v>8626446</v>
      </c>
    </row>
    <row r="124" spans="1:29" s="588" customFormat="1" ht="43.5" customHeight="1">
      <c r="A124" s="638">
        <v>7</v>
      </c>
      <c r="B124" s="639" t="s">
        <v>348</v>
      </c>
      <c r="C124" s="639" t="s">
        <v>348</v>
      </c>
      <c r="D124" s="640">
        <v>2</v>
      </c>
      <c r="E124" s="639" t="s">
        <v>367</v>
      </c>
      <c r="F124" s="639" t="s">
        <v>350</v>
      </c>
      <c r="G124" s="640">
        <v>5</v>
      </c>
      <c r="H124" s="640">
        <v>1</v>
      </c>
      <c r="I124" s="639" t="s">
        <v>350</v>
      </c>
      <c r="J124" s="654" t="s">
        <v>348</v>
      </c>
      <c r="K124" s="654" t="s">
        <v>348</v>
      </c>
      <c r="L124" s="654" t="s">
        <v>442</v>
      </c>
      <c r="M124" s="681">
        <v>0</v>
      </c>
      <c r="N124" s="642" t="str">
        <f>'[1]SPJ FUNGSIONAL '!N131</f>
        <v>Belanja Bahan-Isi Tabung Gas</v>
      </c>
      <c r="O124" s="643">
        <f>'[1]SPJ FUNGSIONAL '!O131</f>
        <v>259800</v>
      </c>
      <c r="P124" s="644">
        <f>'[2]LRA SP2D'!$R$124</f>
        <v>250000</v>
      </c>
      <c r="Q124" s="644"/>
      <c r="R124" s="644">
        <f>SUM(P124:Q124)</f>
        <v>250000</v>
      </c>
      <c r="S124" s="644">
        <f>'[1]SPJ FUNGSIONAL '!AA131</f>
        <v>250000</v>
      </c>
      <c r="T124" s="644">
        <f>'[1]SPJ FUNGSIONAL '!Z131</f>
        <v>0</v>
      </c>
      <c r="U124" s="644">
        <f>SUM(S124:T124)</f>
        <v>250000</v>
      </c>
      <c r="V124" s="644">
        <f t="shared" si="41"/>
        <v>9800</v>
      </c>
      <c r="W124" s="644"/>
      <c r="X124" s="644">
        <f t="shared" si="46"/>
        <v>0</v>
      </c>
      <c r="Y124" s="646">
        <f t="shared" si="42"/>
        <v>0.96227867590454197</v>
      </c>
    </row>
    <row r="125" spans="1:29" s="588" customFormat="1" ht="43.5" customHeight="1">
      <c r="A125" s="623">
        <v>7</v>
      </c>
      <c r="B125" s="637" t="s">
        <v>348</v>
      </c>
      <c r="C125" s="637" t="s">
        <v>348</v>
      </c>
      <c r="D125" s="624">
        <v>2</v>
      </c>
      <c r="E125" s="637" t="s">
        <v>367</v>
      </c>
      <c r="F125" s="637" t="s">
        <v>350</v>
      </c>
      <c r="G125" s="624">
        <v>5</v>
      </c>
      <c r="H125" s="624">
        <v>1</v>
      </c>
      <c r="I125" s="637" t="s">
        <v>350</v>
      </c>
      <c r="J125" s="672" t="s">
        <v>350</v>
      </c>
      <c r="K125" s="660"/>
      <c r="L125" s="660"/>
      <c r="M125" s="670"/>
      <c r="N125" s="668" t="s">
        <v>391</v>
      </c>
      <c r="O125" s="662">
        <f t="shared" ref="O125:T126" si="53">O126</f>
        <v>15685000</v>
      </c>
      <c r="P125" s="662">
        <f t="shared" si="53"/>
        <v>4406600</v>
      </c>
      <c r="Q125" s="662">
        <f t="shared" si="53"/>
        <v>1354950</v>
      </c>
      <c r="R125" s="595">
        <f t="shared" si="39"/>
        <v>5761550</v>
      </c>
      <c r="S125" s="662">
        <f t="shared" si="53"/>
        <v>4406600</v>
      </c>
      <c r="T125" s="662">
        <f t="shared" si="53"/>
        <v>2662450</v>
      </c>
      <c r="U125" s="595">
        <f t="shared" si="40"/>
        <v>7069050</v>
      </c>
      <c r="V125" s="595">
        <f t="shared" si="41"/>
        <v>8615950</v>
      </c>
      <c r="W125" s="595"/>
      <c r="X125" s="595">
        <f t="shared" si="46"/>
        <v>-1307500</v>
      </c>
      <c r="Y125" s="597">
        <f t="shared" si="42"/>
        <v>0.45068855594517054</v>
      </c>
      <c r="AC125" s="588">
        <f>AC122-AC123</f>
        <v>-1087886</v>
      </c>
    </row>
    <row r="126" spans="1:29" s="588" customFormat="1" ht="43.5" customHeight="1">
      <c r="A126" s="623">
        <v>7</v>
      </c>
      <c r="B126" s="637" t="s">
        <v>348</v>
      </c>
      <c r="C126" s="637" t="s">
        <v>348</v>
      </c>
      <c r="D126" s="624">
        <v>2</v>
      </c>
      <c r="E126" s="637" t="s">
        <v>367</v>
      </c>
      <c r="F126" s="637" t="s">
        <v>350</v>
      </c>
      <c r="G126" s="624">
        <v>5</v>
      </c>
      <c r="H126" s="624">
        <v>1</v>
      </c>
      <c r="I126" s="637" t="s">
        <v>350</v>
      </c>
      <c r="J126" s="672" t="s">
        <v>350</v>
      </c>
      <c r="K126" s="672" t="s">
        <v>348</v>
      </c>
      <c r="L126" s="660"/>
      <c r="M126" s="670"/>
      <c r="N126" s="668" t="s">
        <v>392</v>
      </c>
      <c r="O126" s="662">
        <f>O127</f>
        <v>15685000</v>
      </c>
      <c r="P126" s="662">
        <f t="shared" si="53"/>
        <v>4406600</v>
      </c>
      <c r="Q126" s="662">
        <f t="shared" si="53"/>
        <v>1354950</v>
      </c>
      <c r="R126" s="595">
        <f t="shared" si="39"/>
        <v>5761550</v>
      </c>
      <c r="S126" s="662">
        <f t="shared" si="53"/>
        <v>4406600</v>
      </c>
      <c r="T126" s="662">
        <f t="shared" si="53"/>
        <v>2662450</v>
      </c>
      <c r="U126" s="595">
        <f t="shared" si="40"/>
        <v>7069050</v>
      </c>
      <c r="V126" s="595">
        <f t="shared" si="41"/>
        <v>8615950</v>
      </c>
      <c r="W126" s="595"/>
      <c r="X126" s="595">
        <f t="shared" si="46"/>
        <v>-1307500</v>
      </c>
      <c r="Y126" s="597">
        <f t="shared" si="42"/>
        <v>0.45068855594517054</v>
      </c>
    </row>
    <row r="127" spans="1:29" s="588" customFormat="1" ht="43.5" customHeight="1">
      <c r="A127" s="638">
        <v>7</v>
      </c>
      <c r="B127" s="639" t="s">
        <v>348</v>
      </c>
      <c r="C127" s="639" t="s">
        <v>348</v>
      </c>
      <c r="D127" s="640">
        <v>2</v>
      </c>
      <c r="E127" s="639" t="s">
        <v>367</v>
      </c>
      <c r="F127" s="639" t="s">
        <v>350</v>
      </c>
      <c r="G127" s="640">
        <v>5</v>
      </c>
      <c r="H127" s="640">
        <v>1</v>
      </c>
      <c r="I127" s="639" t="s">
        <v>350</v>
      </c>
      <c r="J127" s="654" t="s">
        <v>350</v>
      </c>
      <c r="K127" s="654" t="s">
        <v>348</v>
      </c>
      <c r="L127" s="654" t="s">
        <v>419</v>
      </c>
      <c r="M127" s="681" t="s">
        <v>341</v>
      </c>
      <c r="N127" s="642" t="str">
        <f>'[1]SPJ FUNGSIONAL '!N134</f>
        <v xml:space="preserve">Belanja Pembayaran Pajak, Bea dan Perizinan </v>
      </c>
      <c r="O127" s="643">
        <f>'[1]SPJ FUNGSIONAL '!O134</f>
        <v>15685000</v>
      </c>
      <c r="P127" s="644">
        <f>'[2]LRA SP2D'!$R$127</f>
        <v>4406600</v>
      </c>
      <c r="Q127" s="644">
        <v>1354950</v>
      </c>
      <c r="R127" s="644">
        <f>SUM(P127:Q127)</f>
        <v>5761550</v>
      </c>
      <c r="S127" s="644">
        <f>'[1]SPJ FUNGSIONAL '!Y134</f>
        <v>4406600</v>
      </c>
      <c r="T127" s="644">
        <f>'[1]SPJ FUNGSIONAL '!Z134</f>
        <v>2662450</v>
      </c>
      <c r="U127" s="644">
        <f>SUM(S127:T127)</f>
        <v>7069050</v>
      </c>
      <c r="V127" s="644">
        <f t="shared" si="41"/>
        <v>8615950</v>
      </c>
      <c r="W127" s="644"/>
      <c r="X127" s="644">
        <f t="shared" si="46"/>
        <v>-1307500</v>
      </c>
      <c r="Y127" s="646">
        <f t="shared" si="42"/>
        <v>0.45068855594517054</v>
      </c>
      <c r="AC127" s="684">
        <f>X15</f>
        <v>73588175</v>
      </c>
    </row>
    <row r="128" spans="1:29" s="588" customFormat="1" ht="43.5" customHeight="1">
      <c r="A128" s="623">
        <v>7</v>
      </c>
      <c r="B128" s="637" t="s">
        <v>348</v>
      </c>
      <c r="C128" s="637" t="s">
        <v>348</v>
      </c>
      <c r="D128" s="624">
        <v>2</v>
      </c>
      <c r="E128" s="637" t="s">
        <v>367</v>
      </c>
      <c r="F128" s="637" t="s">
        <v>350</v>
      </c>
      <c r="G128" s="624">
        <v>5</v>
      </c>
      <c r="H128" s="624">
        <v>1</v>
      </c>
      <c r="I128" s="637" t="s">
        <v>350</v>
      </c>
      <c r="J128" s="672" t="s">
        <v>357</v>
      </c>
      <c r="K128" s="660"/>
      <c r="L128" s="660"/>
      <c r="M128" s="670"/>
      <c r="N128" s="668" t="s">
        <v>437</v>
      </c>
      <c r="O128" s="662">
        <f t="shared" ref="O128:T128" si="54">O129</f>
        <v>48100000</v>
      </c>
      <c r="P128" s="662">
        <f t="shared" si="54"/>
        <v>32633500</v>
      </c>
      <c r="Q128" s="662">
        <f t="shared" si="54"/>
        <v>2254500</v>
      </c>
      <c r="R128" s="595">
        <f t="shared" si="39"/>
        <v>34888000</v>
      </c>
      <c r="S128" s="662">
        <f t="shared" si="54"/>
        <v>32633500</v>
      </c>
      <c r="T128" s="662">
        <f t="shared" si="54"/>
        <v>3756500</v>
      </c>
      <c r="U128" s="595">
        <f t="shared" si="40"/>
        <v>36390000</v>
      </c>
      <c r="V128" s="595">
        <f t="shared" si="41"/>
        <v>11710000</v>
      </c>
      <c r="W128" s="595"/>
      <c r="X128" s="595">
        <f t="shared" si="46"/>
        <v>-1502000</v>
      </c>
      <c r="Y128" s="597">
        <f t="shared" si="42"/>
        <v>0.75654885654885651</v>
      </c>
      <c r="AC128" s="684">
        <f>'[1]SPJ FUNGSIONAL '!AB363</f>
        <v>73588175</v>
      </c>
    </row>
    <row r="129" spans="1:29" s="588" customFormat="1" ht="43.5" customHeight="1">
      <c r="A129" s="623">
        <v>7</v>
      </c>
      <c r="B129" s="637" t="s">
        <v>348</v>
      </c>
      <c r="C129" s="637" t="s">
        <v>348</v>
      </c>
      <c r="D129" s="624">
        <v>2</v>
      </c>
      <c r="E129" s="637" t="s">
        <v>367</v>
      </c>
      <c r="F129" s="637" t="s">
        <v>350</v>
      </c>
      <c r="G129" s="624">
        <v>5</v>
      </c>
      <c r="H129" s="624">
        <v>1</v>
      </c>
      <c r="I129" s="637" t="s">
        <v>350</v>
      </c>
      <c r="J129" s="672" t="s">
        <v>357</v>
      </c>
      <c r="K129" s="672" t="s">
        <v>350</v>
      </c>
      <c r="L129" s="660"/>
      <c r="M129" s="670"/>
      <c r="N129" s="668" t="s">
        <v>438</v>
      </c>
      <c r="O129" s="662">
        <f>O130+O131</f>
        <v>48100000</v>
      </c>
      <c r="P129" s="662">
        <f t="shared" ref="P129:Q129" si="55">P130+P131</f>
        <v>32633500</v>
      </c>
      <c r="Q129" s="662">
        <f t="shared" si="55"/>
        <v>2254500</v>
      </c>
      <c r="R129" s="595">
        <f t="shared" si="39"/>
        <v>34888000</v>
      </c>
      <c r="S129" s="662">
        <f t="shared" ref="S129:T129" si="56">S130+S131</f>
        <v>32633500</v>
      </c>
      <c r="T129" s="662">
        <f t="shared" si="56"/>
        <v>3756500</v>
      </c>
      <c r="U129" s="595">
        <f t="shared" si="40"/>
        <v>36390000</v>
      </c>
      <c r="V129" s="595">
        <f t="shared" si="41"/>
        <v>11710000</v>
      </c>
      <c r="W129" s="595"/>
      <c r="X129" s="595">
        <f t="shared" si="46"/>
        <v>-1502000</v>
      </c>
      <c r="Y129" s="597">
        <f t="shared" si="42"/>
        <v>0.75654885654885651</v>
      </c>
    </row>
    <row r="130" spans="1:29" s="588" customFormat="1" ht="62.25" customHeight="1">
      <c r="A130" s="638">
        <v>7</v>
      </c>
      <c r="B130" s="639" t="s">
        <v>348</v>
      </c>
      <c r="C130" s="639" t="s">
        <v>348</v>
      </c>
      <c r="D130" s="640">
        <v>2</v>
      </c>
      <c r="E130" s="639" t="s">
        <v>367</v>
      </c>
      <c r="F130" s="639" t="s">
        <v>350</v>
      </c>
      <c r="G130" s="640">
        <v>5</v>
      </c>
      <c r="H130" s="640">
        <v>1</v>
      </c>
      <c r="I130" s="639" t="s">
        <v>350</v>
      </c>
      <c r="J130" s="654" t="s">
        <v>357</v>
      </c>
      <c r="K130" s="654" t="s">
        <v>350</v>
      </c>
      <c r="L130" s="654" t="s">
        <v>380</v>
      </c>
      <c r="M130" s="681" t="s">
        <v>339</v>
      </c>
      <c r="N130" s="663" t="str">
        <f>'[1]SPJ FUNGSIONAL '!N137</f>
        <v>Belanja Pemeliharaan Alat Angkutan - Alat Angkutan Darat Bermotor - Kendaraan Dinas Bermotor Perorangan</v>
      </c>
      <c r="O130" s="643">
        <f>'[1]SPJ FUNGSIONAL '!O137</f>
        <v>22500000</v>
      </c>
      <c r="P130" s="644">
        <f>'[2]LRA SP2D'!$R$130</f>
        <v>16907500</v>
      </c>
      <c r="Q130" s="644"/>
      <c r="R130" s="644">
        <f>SUM(P130:Q130)</f>
        <v>16907500</v>
      </c>
      <c r="S130" s="644">
        <f>'[1]SPJ FUNGSIONAL '!Y137</f>
        <v>16907500</v>
      </c>
      <c r="T130" s="644">
        <f>'[1]SPJ FUNGSIONAL '!Z137</f>
        <v>0</v>
      </c>
      <c r="U130" s="644">
        <f>SUM(S130:T130)</f>
        <v>16907500</v>
      </c>
      <c r="V130" s="644">
        <f t="shared" si="41"/>
        <v>5592500</v>
      </c>
      <c r="W130" s="644"/>
      <c r="X130" s="644">
        <f t="shared" si="46"/>
        <v>0</v>
      </c>
      <c r="Y130" s="646">
        <f t="shared" si="42"/>
        <v>0.75144444444444447</v>
      </c>
      <c r="AC130" s="684">
        <f>AC127-AC128</f>
        <v>0</v>
      </c>
    </row>
    <row r="131" spans="1:29" s="588" customFormat="1" ht="52.5" customHeight="1">
      <c r="A131" s="638">
        <v>7</v>
      </c>
      <c r="B131" s="639" t="s">
        <v>348</v>
      </c>
      <c r="C131" s="639" t="s">
        <v>348</v>
      </c>
      <c r="D131" s="640">
        <v>2</v>
      </c>
      <c r="E131" s="639" t="s">
        <v>367</v>
      </c>
      <c r="F131" s="639" t="s">
        <v>350</v>
      </c>
      <c r="G131" s="640">
        <v>5</v>
      </c>
      <c r="H131" s="640">
        <v>1</v>
      </c>
      <c r="I131" s="639" t="s">
        <v>350</v>
      </c>
      <c r="J131" s="654" t="s">
        <v>357</v>
      </c>
      <c r="K131" s="654" t="s">
        <v>350</v>
      </c>
      <c r="L131" s="654" t="s">
        <v>380</v>
      </c>
      <c r="M131" s="681" t="s">
        <v>339</v>
      </c>
      <c r="N131" s="663" t="str">
        <f>'[1]SPJ FUNGSIONAL '!N138</f>
        <v xml:space="preserve">Belanja Pemeliharaan Alat Angkutan - Alat Angkutan Darat Bermotor - Kendaraan Dinas Bermotor Beroda Dua </v>
      </c>
      <c r="O131" s="643">
        <f>'[1]SPJ FUNGSIONAL '!O138</f>
        <v>25600000</v>
      </c>
      <c r="P131" s="644">
        <f>'[2]LRA SP2D'!$R$131</f>
        <v>15726000</v>
      </c>
      <c r="Q131" s="644">
        <v>2254500</v>
      </c>
      <c r="R131" s="644">
        <f t="shared" si="39"/>
        <v>17980500</v>
      </c>
      <c r="S131" s="644">
        <f>'[1]SPJ FUNGSIONAL '!Y138</f>
        <v>15726000</v>
      </c>
      <c r="T131" s="644">
        <f>'[1]SPJ FUNGSIONAL '!Z138</f>
        <v>3756500</v>
      </c>
      <c r="U131" s="644">
        <f t="shared" si="40"/>
        <v>19482500</v>
      </c>
      <c r="V131" s="644">
        <f t="shared" si="41"/>
        <v>6117500</v>
      </c>
      <c r="W131" s="644">
        <v>2000</v>
      </c>
      <c r="X131" s="644">
        <f>R131-U131+2000</f>
        <v>-1500000</v>
      </c>
      <c r="Y131" s="597">
        <f t="shared" si="42"/>
        <v>0.76103515624999996</v>
      </c>
    </row>
    <row r="132" spans="1:29" s="588" customFormat="1" ht="25" customHeight="1">
      <c r="A132" s="638"/>
      <c r="B132" s="640"/>
      <c r="C132" s="640"/>
      <c r="D132" s="640"/>
      <c r="E132" s="640"/>
      <c r="F132" s="640"/>
      <c r="G132" s="640"/>
      <c r="H132" s="640"/>
      <c r="I132" s="640"/>
      <c r="J132" s="660"/>
      <c r="K132" s="660"/>
      <c r="L132" s="660"/>
      <c r="M132" s="670"/>
      <c r="N132" s="663"/>
      <c r="O132" s="643"/>
      <c r="P132" s="644"/>
      <c r="Q132" s="644"/>
      <c r="R132" s="644">
        <f t="shared" si="39"/>
        <v>0</v>
      </c>
      <c r="S132" s="644"/>
      <c r="T132" s="644"/>
      <c r="U132" s="644">
        <f t="shared" si="40"/>
        <v>0</v>
      </c>
      <c r="V132" s="644">
        <f t="shared" si="41"/>
        <v>0</v>
      </c>
      <c r="W132" s="644">
        <f t="shared" si="43"/>
        <v>0</v>
      </c>
      <c r="X132" s="644">
        <f t="shared" si="46"/>
        <v>0</v>
      </c>
      <c r="Y132" s="646"/>
    </row>
    <row r="133" spans="1:29" s="588" customFormat="1" ht="45" customHeight="1">
      <c r="A133" s="629">
        <v>7</v>
      </c>
      <c r="B133" s="630" t="s">
        <v>348</v>
      </c>
      <c r="C133" s="630" t="s">
        <v>348</v>
      </c>
      <c r="D133" s="631">
        <v>2</v>
      </c>
      <c r="E133" s="630" t="s">
        <v>367</v>
      </c>
      <c r="F133" s="630" t="s">
        <v>361</v>
      </c>
      <c r="G133" s="631"/>
      <c r="H133" s="631"/>
      <c r="I133" s="631"/>
      <c r="J133" s="631"/>
      <c r="K133" s="631"/>
      <c r="L133" s="631"/>
      <c r="M133" s="632"/>
      <c r="N133" s="665" t="s">
        <v>145</v>
      </c>
      <c r="O133" s="634">
        <f t="shared" ref="O133:X135" si="57">O134</f>
        <v>77830000</v>
      </c>
      <c r="P133" s="634">
        <f t="shared" si="57"/>
        <v>28390000</v>
      </c>
      <c r="Q133" s="634">
        <f t="shared" si="57"/>
        <v>12260000</v>
      </c>
      <c r="R133" s="634">
        <f t="shared" si="57"/>
        <v>40650000</v>
      </c>
      <c r="S133" s="634">
        <f t="shared" si="57"/>
        <v>28390000</v>
      </c>
      <c r="T133" s="634">
        <f t="shared" si="57"/>
        <v>35790000</v>
      </c>
      <c r="U133" s="634">
        <f t="shared" si="57"/>
        <v>64180000</v>
      </c>
      <c r="V133" s="634">
        <f t="shared" si="57"/>
        <v>13650000</v>
      </c>
      <c r="W133" s="634">
        <f t="shared" si="57"/>
        <v>0</v>
      </c>
      <c r="X133" s="685">
        <f t="shared" si="57"/>
        <v>-23530000</v>
      </c>
      <c r="Y133" s="666">
        <f t="shared" si="42"/>
        <v>0.82461775664910708</v>
      </c>
      <c r="AC133" s="588">
        <v>16803352357.200001</v>
      </c>
    </row>
    <row r="134" spans="1:29" s="588" customFormat="1" ht="33.75" customHeight="1">
      <c r="A134" s="623">
        <v>7</v>
      </c>
      <c r="B134" s="637" t="s">
        <v>348</v>
      </c>
      <c r="C134" s="637" t="s">
        <v>348</v>
      </c>
      <c r="D134" s="624">
        <v>2</v>
      </c>
      <c r="E134" s="637" t="s">
        <v>367</v>
      </c>
      <c r="F134" s="637" t="s">
        <v>361</v>
      </c>
      <c r="G134" s="624">
        <v>5</v>
      </c>
      <c r="H134" s="624">
        <v>1</v>
      </c>
      <c r="I134" s="637" t="s">
        <v>350</v>
      </c>
      <c r="J134" s="673"/>
      <c r="K134" s="660"/>
      <c r="L134" s="660"/>
      <c r="M134" s="670"/>
      <c r="N134" s="668" t="s">
        <v>377</v>
      </c>
      <c r="O134" s="662">
        <f>O135</f>
        <v>77830000</v>
      </c>
      <c r="P134" s="662">
        <f t="shared" si="57"/>
        <v>28390000</v>
      </c>
      <c r="Q134" s="662">
        <f t="shared" si="57"/>
        <v>12260000</v>
      </c>
      <c r="R134" s="662">
        <f t="shared" si="57"/>
        <v>40650000</v>
      </c>
      <c r="S134" s="662">
        <f t="shared" si="57"/>
        <v>28390000</v>
      </c>
      <c r="T134" s="662">
        <f t="shared" si="57"/>
        <v>35790000</v>
      </c>
      <c r="U134" s="662">
        <f t="shared" si="57"/>
        <v>64180000</v>
      </c>
      <c r="V134" s="662">
        <f t="shared" si="57"/>
        <v>13650000</v>
      </c>
      <c r="W134" s="662">
        <f t="shared" si="57"/>
        <v>0</v>
      </c>
      <c r="X134" s="686">
        <f t="shared" si="57"/>
        <v>-23530000</v>
      </c>
      <c r="Y134" s="597">
        <f t="shared" si="42"/>
        <v>0.82461775664910708</v>
      </c>
      <c r="AC134" s="588">
        <v>16803307807.200001</v>
      </c>
    </row>
    <row r="135" spans="1:29" s="588" customFormat="1" ht="33.75" customHeight="1">
      <c r="A135" s="623">
        <v>7</v>
      </c>
      <c r="B135" s="637" t="s">
        <v>348</v>
      </c>
      <c r="C135" s="637" t="s">
        <v>348</v>
      </c>
      <c r="D135" s="624">
        <v>2</v>
      </c>
      <c r="E135" s="637" t="s">
        <v>367</v>
      </c>
      <c r="F135" s="637" t="s">
        <v>361</v>
      </c>
      <c r="G135" s="624">
        <v>5</v>
      </c>
      <c r="H135" s="624">
        <v>1</v>
      </c>
      <c r="I135" s="637" t="s">
        <v>350</v>
      </c>
      <c r="J135" s="672" t="s">
        <v>357</v>
      </c>
      <c r="K135" s="660"/>
      <c r="L135" s="660"/>
      <c r="M135" s="670"/>
      <c r="N135" s="668" t="s">
        <v>437</v>
      </c>
      <c r="O135" s="662">
        <f>O136</f>
        <v>77830000</v>
      </c>
      <c r="P135" s="662">
        <f t="shared" si="57"/>
        <v>28390000</v>
      </c>
      <c r="Q135" s="662">
        <f t="shared" si="57"/>
        <v>12260000</v>
      </c>
      <c r="R135" s="662">
        <f t="shared" si="57"/>
        <v>40650000</v>
      </c>
      <c r="S135" s="662">
        <f t="shared" si="57"/>
        <v>28390000</v>
      </c>
      <c r="T135" s="662">
        <f t="shared" si="57"/>
        <v>35790000</v>
      </c>
      <c r="U135" s="662">
        <f t="shared" si="57"/>
        <v>64180000</v>
      </c>
      <c r="V135" s="662">
        <f t="shared" si="57"/>
        <v>13650000</v>
      </c>
      <c r="W135" s="595"/>
      <c r="X135" s="595">
        <f t="shared" si="46"/>
        <v>-23530000</v>
      </c>
      <c r="Y135" s="597">
        <f t="shared" si="42"/>
        <v>0.82461775664910708</v>
      </c>
      <c r="AC135" s="588">
        <f>AC133-AC134</f>
        <v>44550</v>
      </c>
    </row>
    <row r="136" spans="1:29" s="588" customFormat="1" ht="42" customHeight="1">
      <c r="A136" s="623">
        <v>7</v>
      </c>
      <c r="B136" s="637" t="s">
        <v>348</v>
      </c>
      <c r="C136" s="637" t="s">
        <v>348</v>
      </c>
      <c r="D136" s="624">
        <v>2</v>
      </c>
      <c r="E136" s="637" t="s">
        <v>367</v>
      </c>
      <c r="F136" s="637" t="s">
        <v>361</v>
      </c>
      <c r="G136" s="624">
        <v>5</v>
      </c>
      <c r="H136" s="624">
        <v>1</v>
      </c>
      <c r="I136" s="637" t="s">
        <v>350</v>
      </c>
      <c r="J136" s="672" t="s">
        <v>357</v>
      </c>
      <c r="K136" s="672" t="s">
        <v>350</v>
      </c>
      <c r="L136" s="660"/>
      <c r="M136" s="670"/>
      <c r="N136" s="661" t="s">
        <v>438</v>
      </c>
      <c r="O136" s="662">
        <f>SUM(O137:O140)</f>
        <v>77830000</v>
      </c>
      <c r="P136" s="662">
        <f t="shared" ref="P136:S136" si="58">SUM(P137:P139)</f>
        <v>28390000</v>
      </c>
      <c r="Q136" s="662">
        <f t="shared" si="58"/>
        <v>12260000</v>
      </c>
      <c r="R136" s="662">
        <f t="shared" si="58"/>
        <v>40650000</v>
      </c>
      <c r="S136" s="662">
        <f t="shared" si="58"/>
        <v>28390000</v>
      </c>
      <c r="T136" s="662">
        <f>SUM(T137:T140)</f>
        <v>35790000</v>
      </c>
      <c r="U136" s="662">
        <f>SUM(U137:U140)</f>
        <v>64180000</v>
      </c>
      <c r="V136" s="662">
        <f>SUM(V137:V140)</f>
        <v>13650000</v>
      </c>
      <c r="W136" s="595"/>
      <c r="X136" s="595">
        <f t="shared" si="46"/>
        <v>-23530000</v>
      </c>
      <c r="Y136" s="597">
        <f t="shared" si="42"/>
        <v>0.82461775664910708</v>
      </c>
    </row>
    <row r="137" spans="1:29" s="588" customFormat="1" ht="46.5" customHeight="1">
      <c r="A137" s="638">
        <v>7</v>
      </c>
      <c r="B137" s="639" t="s">
        <v>348</v>
      </c>
      <c r="C137" s="639" t="s">
        <v>348</v>
      </c>
      <c r="D137" s="640">
        <v>2</v>
      </c>
      <c r="E137" s="639" t="s">
        <v>367</v>
      </c>
      <c r="F137" s="639" t="s">
        <v>361</v>
      </c>
      <c r="G137" s="640">
        <v>5</v>
      </c>
      <c r="H137" s="640">
        <v>1</v>
      </c>
      <c r="I137" s="639" t="s">
        <v>350</v>
      </c>
      <c r="J137" s="654" t="s">
        <v>357</v>
      </c>
      <c r="K137" s="654" t="s">
        <v>350</v>
      </c>
      <c r="L137" s="654" t="s">
        <v>444</v>
      </c>
      <c r="M137" s="670">
        <v>7</v>
      </c>
      <c r="N137" s="663" t="str">
        <f>'[1]SPJ FUNGSIONAL '!N144</f>
        <v>Belanja Pemeliharaan Peralatan Kantor dan Rumah Tangga - Alat Kantor - Alat Kantor Lainnya</v>
      </c>
      <c r="O137" s="643">
        <f>'[1]SPJ FUNGSIONAL '!O144</f>
        <v>26500000</v>
      </c>
      <c r="P137" s="644">
        <f>'[2]LRA SP2D'!$R$137</f>
        <v>16110000</v>
      </c>
      <c r="Q137" s="644">
        <v>9150000</v>
      </c>
      <c r="R137" s="644">
        <f t="shared" si="39"/>
        <v>25260000</v>
      </c>
      <c r="S137" s="644">
        <f>'[1]SPJ FUNGSIONAL '!Y144</f>
        <v>16110000</v>
      </c>
      <c r="T137" s="644">
        <f>'[1]SPJ FUNGSIONAL '!Z144</f>
        <v>10350000</v>
      </c>
      <c r="U137" s="644">
        <f t="shared" si="40"/>
        <v>26460000</v>
      </c>
      <c r="V137" s="644">
        <f t="shared" si="41"/>
        <v>40000</v>
      </c>
      <c r="W137" s="644"/>
      <c r="X137" s="644">
        <f t="shared" si="46"/>
        <v>-1200000</v>
      </c>
      <c r="Y137" s="646">
        <f t="shared" si="42"/>
        <v>0.99849056603773589</v>
      </c>
    </row>
    <row r="138" spans="1:29" s="588" customFormat="1" ht="45" customHeight="1">
      <c r="A138" s="638">
        <v>7</v>
      </c>
      <c r="B138" s="639" t="s">
        <v>348</v>
      </c>
      <c r="C138" s="639" t="s">
        <v>348</v>
      </c>
      <c r="D138" s="640">
        <v>2</v>
      </c>
      <c r="E138" s="639" t="s">
        <v>367</v>
      </c>
      <c r="F138" s="639" t="s">
        <v>361</v>
      </c>
      <c r="G138" s="640">
        <v>5</v>
      </c>
      <c r="H138" s="640">
        <v>1</v>
      </c>
      <c r="I138" s="639" t="s">
        <v>350</v>
      </c>
      <c r="J138" s="654" t="s">
        <v>357</v>
      </c>
      <c r="K138" s="654" t="s">
        <v>350</v>
      </c>
      <c r="L138" s="654" t="s">
        <v>449</v>
      </c>
      <c r="M138" s="670">
        <v>5</v>
      </c>
      <c r="N138" s="663" t="str">
        <f>'[1]SPJ FUNGSIONAL '!N145</f>
        <v xml:space="preserve">Belanja Pemeliharaan Komputer - Komputer Unit - Personal Computer </v>
      </c>
      <c r="O138" s="643">
        <f>'[1]SPJ FUNGSIONAL '!O145</f>
        <v>23330000</v>
      </c>
      <c r="P138" s="644">
        <f>'[2]LRA SP2D'!$R$138</f>
        <v>9890000</v>
      </c>
      <c r="Q138" s="644">
        <v>2350000</v>
      </c>
      <c r="R138" s="644">
        <f t="shared" si="39"/>
        <v>12240000</v>
      </c>
      <c r="S138" s="644">
        <f>'[1]SPJ FUNGSIONAL '!Y145</f>
        <v>9890000</v>
      </c>
      <c r="T138" s="644">
        <f>'[1]SPJ FUNGSIONAL '!Z145</f>
        <v>4480000</v>
      </c>
      <c r="U138" s="644">
        <f t="shared" si="40"/>
        <v>14370000</v>
      </c>
      <c r="V138" s="644">
        <f t="shared" si="41"/>
        <v>8960000</v>
      </c>
      <c r="W138" s="644"/>
      <c r="X138" s="644">
        <f t="shared" si="46"/>
        <v>-2130000</v>
      </c>
      <c r="Y138" s="646">
        <f t="shared" si="42"/>
        <v>0.61594513501928849</v>
      </c>
    </row>
    <row r="139" spans="1:29" s="588" customFormat="1" ht="45" customHeight="1">
      <c r="A139" s="638">
        <v>7</v>
      </c>
      <c r="B139" s="639" t="s">
        <v>348</v>
      </c>
      <c r="C139" s="639" t="s">
        <v>348</v>
      </c>
      <c r="D139" s="640">
        <v>2</v>
      </c>
      <c r="E139" s="639" t="s">
        <v>367</v>
      </c>
      <c r="F139" s="639" t="s">
        <v>361</v>
      </c>
      <c r="G139" s="640">
        <v>5</v>
      </c>
      <c r="H139" s="640">
        <v>1</v>
      </c>
      <c r="I139" s="639" t="s">
        <v>350</v>
      </c>
      <c r="J139" s="654" t="s">
        <v>357</v>
      </c>
      <c r="K139" s="654" t="s">
        <v>350</v>
      </c>
      <c r="L139" s="654" t="s">
        <v>449</v>
      </c>
      <c r="M139" s="681" t="s">
        <v>451</v>
      </c>
      <c r="N139" s="663" t="str">
        <f>'[1]SPJ FUNGSIONAL '!N146</f>
        <v xml:space="preserve">Belanja Pemeliharaan Komputer - Peralatan Komputer - Peralatan Personal Komputer </v>
      </c>
      <c r="O139" s="643">
        <f>'[1]SPJ FUNGSIONAL '!O146</f>
        <v>8200000</v>
      </c>
      <c r="P139" s="644">
        <f>'[2]LRA SP2D'!$R$139</f>
        <v>2390000</v>
      </c>
      <c r="Q139" s="644">
        <v>760000</v>
      </c>
      <c r="R139" s="644">
        <f t="shared" si="39"/>
        <v>3150000</v>
      </c>
      <c r="S139" s="644">
        <f>'[1]SPJ FUNGSIONAL '!Y146</f>
        <v>2390000</v>
      </c>
      <c r="T139" s="644">
        <f>'[1]SPJ FUNGSIONAL '!Z146</f>
        <v>1160000</v>
      </c>
      <c r="U139" s="644">
        <f t="shared" si="40"/>
        <v>3550000</v>
      </c>
      <c r="V139" s="644">
        <f t="shared" si="41"/>
        <v>4650000</v>
      </c>
      <c r="W139" s="644"/>
      <c r="X139" s="644">
        <f t="shared" si="46"/>
        <v>-400000</v>
      </c>
      <c r="Y139" s="646">
        <f t="shared" si="42"/>
        <v>0.43292682926829268</v>
      </c>
    </row>
    <row r="140" spans="1:29" s="588" customFormat="1" ht="56.25" customHeight="1">
      <c r="A140" s="638">
        <v>7</v>
      </c>
      <c r="B140" s="639" t="s">
        <v>348</v>
      </c>
      <c r="C140" s="639" t="s">
        <v>348</v>
      </c>
      <c r="D140" s="640">
        <v>2</v>
      </c>
      <c r="E140" s="639" t="s">
        <v>367</v>
      </c>
      <c r="F140" s="639" t="s">
        <v>361</v>
      </c>
      <c r="G140" s="640">
        <v>5</v>
      </c>
      <c r="H140" s="640">
        <v>1</v>
      </c>
      <c r="I140" s="639" t="s">
        <v>350</v>
      </c>
      <c r="J140" s="654" t="s">
        <v>357</v>
      </c>
      <c r="K140" s="654" t="s">
        <v>350</v>
      </c>
      <c r="L140" s="654" t="s">
        <v>573</v>
      </c>
      <c r="M140" s="681">
        <v>4</v>
      </c>
      <c r="N140" s="663" t="str">
        <f>'[1]SPJ FUNGSIONAL '!N147</f>
        <v xml:space="preserve">Belanja Pemeliharaan Rambu-Rambu-Rambu-Rambu Lalu Lintas Darat-Rambu-Rambu Lalu Darat Lainnya (Plang Asmaul Husna Kt. Panjang) </v>
      </c>
      <c r="O140" s="643">
        <f>'[1]SPJ FUNGSIONAL '!O147</f>
        <v>19800000</v>
      </c>
      <c r="P140" s="644"/>
      <c r="Q140" s="644"/>
      <c r="R140" s="644"/>
      <c r="S140" s="644"/>
      <c r="T140" s="644">
        <f>'[1]SPJ FUNGSIONAL '!Z147</f>
        <v>19800000</v>
      </c>
      <c r="U140" s="644">
        <f>SUM(S140:T140)</f>
        <v>19800000</v>
      </c>
      <c r="V140" s="644">
        <f t="shared" si="41"/>
        <v>0</v>
      </c>
      <c r="W140" s="644"/>
      <c r="X140" s="644"/>
      <c r="Y140" s="646">
        <f t="shared" si="42"/>
        <v>1</v>
      </c>
    </row>
    <row r="141" spans="1:29" s="588" customFormat="1" ht="25" customHeight="1">
      <c r="A141" s="669"/>
      <c r="B141" s="660"/>
      <c r="C141" s="660"/>
      <c r="D141" s="660"/>
      <c r="E141" s="660"/>
      <c r="F141" s="660"/>
      <c r="G141" s="660"/>
      <c r="H141" s="660"/>
      <c r="I141" s="660"/>
      <c r="J141" s="660"/>
      <c r="K141" s="660"/>
      <c r="L141" s="660"/>
      <c r="M141" s="670"/>
      <c r="N141" s="642"/>
      <c r="O141" s="643"/>
      <c r="P141" s="644"/>
      <c r="Q141" s="644"/>
      <c r="R141" s="644"/>
      <c r="S141" s="644"/>
      <c r="T141" s="644"/>
      <c r="U141" s="644">
        <f t="shared" si="40"/>
        <v>0</v>
      </c>
      <c r="V141" s="644">
        <f t="shared" si="41"/>
        <v>0</v>
      </c>
      <c r="W141" s="644">
        <f t="shared" si="43"/>
        <v>0</v>
      </c>
      <c r="X141" s="644">
        <f t="shared" si="46"/>
        <v>0</v>
      </c>
      <c r="Y141" s="646"/>
    </row>
    <row r="142" spans="1:29" s="588" customFormat="1" ht="40.5" customHeight="1">
      <c r="A142" s="629">
        <v>7</v>
      </c>
      <c r="B142" s="630" t="s">
        <v>348</v>
      </c>
      <c r="C142" s="630" t="s">
        <v>348</v>
      </c>
      <c r="D142" s="631">
        <v>2</v>
      </c>
      <c r="E142" s="630" t="s">
        <v>367</v>
      </c>
      <c r="F142" s="630" t="s">
        <v>367</v>
      </c>
      <c r="G142" s="631"/>
      <c r="H142" s="631"/>
      <c r="I142" s="631"/>
      <c r="J142" s="631"/>
      <c r="K142" s="631"/>
      <c r="L142" s="631"/>
      <c r="M142" s="632"/>
      <c r="N142" s="665" t="s">
        <v>453</v>
      </c>
      <c r="O142" s="634">
        <f>O143+O147</f>
        <v>257033064</v>
      </c>
      <c r="P142" s="687">
        <f>P143+P147</f>
        <v>242416142.19999999</v>
      </c>
      <c r="Q142" s="687">
        <f>Q143+Q147</f>
        <v>1792200</v>
      </c>
      <c r="R142" s="687">
        <f t="shared" si="39"/>
        <v>244208342.19999999</v>
      </c>
      <c r="S142" s="687">
        <f>S143+S147</f>
        <v>242416142.19999999</v>
      </c>
      <c r="T142" s="687">
        <f>T143+T147</f>
        <v>13421200</v>
      </c>
      <c r="U142" s="687">
        <f t="shared" si="40"/>
        <v>255837342.19999999</v>
      </c>
      <c r="V142" s="687">
        <f>O142-U142</f>
        <v>1195721.8000000119</v>
      </c>
      <c r="W142" s="635"/>
      <c r="X142" s="635">
        <f t="shared" si="46"/>
        <v>-11629000</v>
      </c>
      <c r="Y142" s="666">
        <f t="shared" si="42"/>
        <v>0.9953479844912092</v>
      </c>
    </row>
    <row r="143" spans="1:29" s="588" customFormat="1" ht="40.5" customHeight="1">
      <c r="A143" s="623">
        <v>7</v>
      </c>
      <c r="B143" s="637" t="s">
        <v>348</v>
      </c>
      <c r="C143" s="637" t="s">
        <v>348</v>
      </c>
      <c r="D143" s="624">
        <v>2</v>
      </c>
      <c r="E143" s="637" t="s">
        <v>367</v>
      </c>
      <c r="F143" s="637" t="s">
        <v>367</v>
      </c>
      <c r="G143" s="624">
        <v>5</v>
      </c>
      <c r="H143" s="624">
        <v>1</v>
      </c>
      <c r="I143" s="637" t="s">
        <v>350</v>
      </c>
      <c r="J143" s="673"/>
      <c r="K143" s="660"/>
      <c r="L143" s="660"/>
      <c r="M143" s="670"/>
      <c r="N143" s="668" t="s">
        <v>377</v>
      </c>
      <c r="O143" s="662">
        <f>O144</f>
        <v>71453064</v>
      </c>
      <c r="P143" s="688">
        <f t="shared" ref="P143:Q145" si="59">P144</f>
        <v>66621270</v>
      </c>
      <c r="Q143" s="688">
        <f t="shared" si="59"/>
        <v>1792200</v>
      </c>
      <c r="R143" s="688">
        <f t="shared" si="39"/>
        <v>68413470</v>
      </c>
      <c r="S143" s="688">
        <f t="shared" ref="S143:T145" si="60">S144</f>
        <v>66621270</v>
      </c>
      <c r="T143" s="688">
        <f t="shared" si="60"/>
        <v>4671200</v>
      </c>
      <c r="U143" s="688">
        <f t="shared" si="40"/>
        <v>71292470</v>
      </c>
      <c r="V143" s="688">
        <f t="shared" ref="V143:V206" si="61">O143-U143</f>
        <v>160594</v>
      </c>
      <c r="W143" s="595"/>
      <c r="X143" s="595">
        <f t="shared" si="46"/>
        <v>-2879000</v>
      </c>
      <c r="Y143" s="597">
        <f t="shared" si="42"/>
        <v>0.99775245467430196</v>
      </c>
    </row>
    <row r="144" spans="1:29" s="588" customFormat="1" ht="40.5" customHeight="1">
      <c r="A144" s="623">
        <v>7</v>
      </c>
      <c r="B144" s="637" t="s">
        <v>348</v>
      </c>
      <c r="C144" s="637" t="s">
        <v>348</v>
      </c>
      <c r="D144" s="624">
        <v>2</v>
      </c>
      <c r="E144" s="637" t="s">
        <v>367</v>
      </c>
      <c r="F144" s="637" t="s">
        <v>367</v>
      </c>
      <c r="G144" s="624">
        <v>5</v>
      </c>
      <c r="H144" s="624">
        <v>1</v>
      </c>
      <c r="I144" s="637" t="s">
        <v>350</v>
      </c>
      <c r="J144" s="672" t="s">
        <v>357</v>
      </c>
      <c r="K144" s="660"/>
      <c r="L144" s="660"/>
      <c r="M144" s="670"/>
      <c r="N144" s="668" t="s">
        <v>437</v>
      </c>
      <c r="O144" s="662">
        <f>O145</f>
        <v>71453064</v>
      </c>
      <c r="P144" s="688">
        <f t="shared" si="59"/>
        <v>66621270</v>
      </c>
      <c r="Q144" s="688">
        <f t="shared" si="59"/>
        <v>1792200</v>
      </c>
      <c r="R144" s="688">
        <f t="shared" si="39"/>
        <v>68413470</v>
      </c>
      <c r="S144" s="688">
        <f t="shared" si="60"/>
        <v>66621270</v>
      </c>
      <c r="T144" s="688">
        <f t="shared" si="60"/>
        <v>4671200</v>
      </c>
      <c r="U144" s="688">
        <f t="shared" si="40"/>
        <v>71292470</v>
      </c>
      <c r="V144" s="688">
        <f t="shared" si="61"/>
        <v>160594</v>
      </c>
      <c r="W144" s="595"/>
      <c r="X144" s="595">
        <f t="shared" si="46"/>
        <v>-2879000</v>
      </c>
      <c r="Y144" s="597">
        <f t="shared" si="42"/>
        <v>0.99775245467430196</v>
      </c>
    </row>
    <row r="145" spans="1:25" s="588" customFormat="1" ht="40.5" customHeight="1">
      <c r="A145" s="623">
        <v>7</v>
      </c>
      <c r="B145" s="637" t="s">
        <v>348</v>
      </c>
      <c r="C145" s="637" t="s">
        <v>348</v>
      </c>
      <c r="D145" s="624">
        <v>2</v>
      </c>
      <c r="E145" s="637" t="s">
        <v>367</v>
      </c>
      <c r="F145" s="637" t="s">
        <v>367</v>
      </c>
      <c r="G145" s="624">
        <v>5</v>
      </c>
      <c r="H145" s="624">
        <v>1</v>
      </c>
      <c r="I145" s="637" t="s">
        <v>350</v>
      </c>
      <c r="J145" s="672" t="s">
        <v>357</v>
      </c>
      <c r="K145" s="672" t="s">
        <v>357</v>
      </c>
      <c r="L145" s="660"/>
      <c r="M145" s="670"/>
      <c r="N145" s="668" t="s">
        <v>454</v>
      </c>
      <c r="O145" s="662">
        <f>O146</f>
        <v>71453064</v>
      </c>
      <c r="P145" s="688">
        <f t="shared" si="59"/>
        <v>66621270</v>
      </c>
      <c r="Q145" s="688">
        <f t="shared" si="59"/>
        <v>1792200</v>
      </c>
      <c r="R145" s="688">
        <f t="shared" si="39"/>
        <v>68413470</v>
      </c>
      <c r="S145" s="688">
        <f t="shared" si="60"/>
        <v>66621270</v>
      </c>
      <c r="T145" s="688">
        <f t="shared" si="60"/>
        <v>4671200</v>
      </c>
      <c r="U145" s="688">
        <f t="shared" si="40"/>
        <v>71292470</v>
      </c>
      <c r="V145" s="688">
        <f t="shared" si="61"/>
        <v>160594</v>
      </c>
      <c r="W145" s="595"/>
      <c r="X145" s="595">
        <f t="shared" si="46"/>
        <v>-2879000</v>
      </c>
      <c r="Y145" s="597">
        <f t="shared" si="42"/>
        <v>0.99775245467430196</v>
      </c>
    </row>
    <row r="146" spans="1:25" s="588" customFormat="1" ht="56.25" customHeight="1">
      <c r="A146" s="638">
        <v>7</v>
      </c>
      <c r="B146" s="639" t="s">
        <v>348</v>
      </c>
      <c r="C146" s="639" t="s">
        <v>348</v>
      </c>
      <c r="D146" s="640">
        <v>2</v>
      </c>
      <c r="E146" s="639" t="s">
        <v>367</v>
      </c>
      <c r="F146" s="639" t="s">
        <v>367</v>
      </c>
      <c r="G146" s="640">
        <v>5</v>
      </c>
      <c r="H146" s="640">
        <v>1</v>
      </c>
      <c r="I146" s="639" t="s">
        <v>350</v>
      </c>
      <c r="J146" s="654" t="s">
        <v>357</v>
      </c>
      <c r="K146" s="654" t="s">
        <v>357</v>
      </c>
      <c r="L146" s="654" t="s">
        <v>354</v>
      </c>
      <c r="M146" s="681" t="s">
        <v>336</v>
      </c>
      <c r="N146" s="663" t="str">
        <f>'[1]SPJ FUNGSIONAL '!N153</f>
        <v xml:space="preserve">Belanja Pemeliharaan Bangunan Gedung - Bangunan Gedung Tempat Kerja - Bangunan Gedung Kantor </v>
      </c>
      <c r="O146" s="643">
        <f>'[1]SPJ FUNGSIONAL '!O153</f>
        <v>71453064</v>
      </c>
      <c r="P146" s="689">
        <f>'[2]LRA SP2D'!$R$146</f>
        <v>66621270</v>
      </c>
      <c r="Q146" s="689">
        <v>1792200</v>
      </c>
      <c r="R146" s="689">
        <f t="shared" si="39"/>
        <v>68413470</v>
      </c>
      <c r="S146" s="689">
        <f>P146</f>
        <v>66621270</v>
      </c>
      <c r="T146" s="689">
        <f>'[1]SPJ FUNGSIONAL '!W153+'[1]SPJ FUNGSIONAL '!Z153</f>
        <v>4671200</v>
      </c>
      <c r="U146" s="689">
        <f t="shared" si="40"/>
        <v>71292470</v>
      </c>
      <c r="V146" s="689">
        <f t="shared" si="61"/>
        <v>160594</v>
      </c>
      <c r="W146" s="644"/>
      <c r="X146" s="644">
        <f t="shared" si="46"/>
        <v>-2879000</v>
      </c>
      <c r="Y146" s="646">
        <f t="shared" si="42"/>
        <v>0.99775245467430196</v>
      </c>
    </row>
    <row r="147" spans="1:25" s="588" customFormat="1" ht="40.5" customHeight="1">
      <c r="A147" s="623">
        <v>7</v>
      </c>
      <c r="B147" s="637" t="s">
        <v>348</v>
      </c>
      <c r="C147" s="637" t="s">
        <v>348</v>
      </c>
      <c r="D147" s="624">
        <v>2</v>
      </c>
      <c r="E147" s="637" t="s">
        <v>367</v>
      </c>
      <c r="F147" s="637" t="s">
        <v>367</v>
      </c>
      <c r="G147" s="624">
        <v>5</v>
      </c>
      <c r="H147" s="624">
        <v>2</v>
      </c>
      <c r="I147" s="637"/>
      <c r="J147" s="673"/>
      <c r="K147" s="673"/>
      <c r="L147" s="673"/>
      <c r="M147" s="674"/>
      <c r="N147" s="690" t="str">
        <f>'[1]SPJ FUNGSIONAL '!N154</f>
        <v xml:space="preserve">Belanja Modal </v>
      </c>
      <c r="O147" s="691">
        <f>O148+O152</f>
        <v>185580000</v>
      </c>
      <c r="P147" s="688">
        <f>P152</f>
        <v>175794872.19999999</v>
      </c>
      <c r="Q147" s="688">
        <f>Q152</f>
        <v>0</v>
      </c>
      <c r="R147" s="688">
        <f>SUM(P147:Q147)</f>
        <v>175794872.19999999</v>
      </c>
      <c r="S147" s="688">
        <f>S152</f>
        <v>175794872.19999999</v>
      </c>
      <c r="T147" s="688">
        <f>T148</f>
        <v>8750000</v>
      </c>
      <c r="U147" s="688">
        <f t="shared" ref="U147:U155" si="62">SUM(S147:T147)</f>
        <v>184544872.19999999</v>
      </c>
      <c r="V147" s="688">
        <f t="shared" si="61"/>
        <v>1035127.8000000119</v>
      </c>
      <c r="W147" s="595"/>
      <c r="X147" s="595">
        <f t="shared" si="46"/>
        <v>-8750000</v>
      </c>
      <c r="Y147" s="597">
        <f t="shared" si="42"/>
        <v>0.9944222017458777</v>
      </c>
    </row>
    <row r="148" spans="1:25" s="588" customFormat="1" ht="40.5" customHeight="1">
      <c r="A148" s="623">
        <v>7</v>
      </c>
      <c r="B148" s="637" t="s">
        <v>348</v>
      </c>
      <c r="C148" s="637" t="s">
        <v>348</v>
      </c>
      <c r="D148" s="624">
        <v>2</v>
      </c>
      <c r="E148" s="637" t="s">
        <v>367</v>
      </c>
      <c r="F148" s="637" t="s">
        <v>367</v>
      </c>
      <c r="G148" s="624">
        <v>5</v>
      </c>
      <c r="H148" s="624">
        <v>2</v>
      </c>
      <c r="I148" s="692" t="s">
        <v>350</v>
      </c>
      <c r="J148" s="693"/>
      <c r="K148" s="693"/>
      <c r="L148" s="693"/>
      <c r="M148" s="694"/>
      <c r="N148" s="690" t="str">
        <f>'[1]SPJ FUNGSIONAL '!N155</f>
        <v xml:space="preserve">Belanja Modal Peralatan dan Mesin </v>
      </c>
      <c r="O148" s="691">
        <f>O149</f>
        <v>9000000</v>
      </c>
      <c r="P148" s="688"/>
      <c r="Q148" s="688"/>
      <c r="R148" s="688"/>
      <c r="S148" s="688"/>
      <c r="T148" s="688">
        <f>T149</f>
        <v>8750000</v>
      </c>
      <c r="U148" s="688">
        <f t="shared" si="62"/>
        <v>8750000</v>
      </c>
      <c r="V148" s="688">
        <f t="shared" si="61"/>
        <v>250000</v>
      </c>
      <c r="W148" s="595"/>
      <c r="X148" s="595"/>
      <c r="Y148" s="597">
        <f t="shared" si="42"/>
        <v>0.97222222222222221</v>
      </c>
    </row>
    <row r="149" spans="1:25" s="588" customFormat="1" ht="40.5" customHeight="1">
      <c r="A149" s="623">
        <v>7</v>
      </c>
      <c r="B149" s="637" t="s">
        <v>348</v>
      </c>
      <c r="C149" s="637" t="s">
        <v>348</v>
      </c>
      <c r="D149" s="624">
        <v>2</v>
      </c>
      <c r="E149" s="637" t="s">
        <v>367</v>
      </c>
      <c r="F149" s="637" t="s">
        <v>367</v>
      </c>
      <c r="G149" s="624">
        <v>5</v>
      </c>
      <c r="H149" s="624">
        <v>2</v>
      </c>
      <c r="I149" s="692" t="s">
        <v>350</v>
      </c>
      <c r="J149" s="695" t="s">
        <v>359</v>
      </c>
      <c r="K149" s="693"/>
      <c r="L149" s="693"/>
      <c r="M149" s="694"/>
      <c r="N149" s="690" t="str">
        <f>'[1]SPJ FUNGSIONAL '!N156</f>
        <v>Belanja Modal Alat Kantor dan Rumah Tangga</v>
      </c>
      <c r="O149" s="691">
        <f>O150</f>
        <v>9000000</v>
      </c>
      <c r="P149" s="688"/>
      <c r="Q149" s="688"/>
      <c r="R149" s="688"/>
      <c r="S149" s="688"/>
      <c r="T149" s="688">
        <f>T150</f>
        <v>8750000</v>
      </c>
      <c r="U149" s="688">
        <f t="shared" si="62"/>
        <v>8750000</v>
      </c>
      <c r="V149" s="688">
        <f t="shared" si="61"/>
        <v>250000</v>
      </c>
      <c r="W149" s="595"/>
      <c r="X149" s="595"/>
      <c r="Y149" s="597">
        <f t="shared" si="42"/>
        <v>0.97222222222222221</v>
      </c>
    </row>
    <row r="150" spans="1:25" s="588" customFormat="1" ht="40.5" customHeight="1">
      <c r="A150" s="623">
        <v>7</v>
      </c>
      <c r="B150" s="637" t="s">
        <v>348</v>
      </c>
      <c r="C150" s="637" t="s">
        <v>348</v>
      </c>
      <c r="D150" s="624">
        <v>2</v>
      </c>
      <c r="E150" s="637" t="s">
        <v>367</v>
      </c>
      <c r="F150" s="637" t="s">
        <v>367</v>
      </c>
      <c r="G150" s="624">
        <v>5</v>
      </c>
      <c r="H150" s="624">
        <v>2</v>
      </c>
      <c r="I150" s="692" t="s">
        <v>350</v>
      </c>
      <c r="J150" s="695" t="s">
        <v>359</v>
      </c>
      <c r="K150" s="695" t="s">
        <v>348</v>
      </c>
      <c r="L150" s="693"/>
      <c r="M150" s="694"/>
      <c r="N150" s="690" t="str">
        <f>'[1]SPJ FUNGSIONAL '!N157</f>
        <v xml:space="preserve">Belanja Modal Alat Kantor </v>
      </c>
      <c r="O150" s="691">
        <f>O151</f>
        <v>9000000</v>
      </c>
      <c r="P150" s="688"/>
      <c r="Q150" s="688"/>
      <c r="R150" s="688"/>
      <c r="S150" s="688"/>
      <c r="T150" s="688">
        <f>T151</f>
        <v>8750000</v>
      </c>
      <c r="U150" s="688">
        <f t="shared" si="62"/>
        <v>8750000</v>
      </c>
      <c r="V150" s="688">
        <f t="shared" si="61"/>
        <v>250000</v>
      </c>
      <c r="W150" s="595"/>
      <c r="X150" s="595"/>
      <c r="Y150" s="597">
        <f t="shared" si="42"/>
        <v>0.97222222222222221</v>
      </c>
    </row>
    <row r="151" spans="1:25" s="588" customFormat="1" ht="40.5" customHeight="1">
      <c r="A151" s="638">
        <v>7</v>
      </c>
      <c r="B151" s="639" t="s">
        <v>348</v>
      </c>
      <c r="C151" s="639" t="s">
        <v>348</v>
      </c>
      <c r="D151" s="640">
        <v>2</v>
      </c>
      <c r="E151" s="639" t="s">
        <v>367</v>
      </c>
      <c r="F151" s="639" t="s">
        <v>367</v>
      </c>
      <c r="G151" s="640">
        <v>5</v>
      </c>
      <c r="H151" s="640">
        <v>2</v>
      </c>
      <c r="I151" s="696" t="s">
        <v>350</v>
      </c>
      <c r="J151" s="697" t="s">
        <v>359</v>
      </c>
      <c r="K151" s="697" t="s">
        <v>348</v>
      </c>
      <c r="L151" s="697" t="s">
        <v>354</v>
      </c>
      <c r="M151" s="698">
        <v>5</v>
      </c>
      <c r="N151" s="699" t="str">
        <f>'[1]SPJ FUNGSIONAL '!N158</f>
        <v>Belanja Modal Alat Kantor Lainnya (BM Plang Nama Ngalau)</v>
      </c>
      <c r="O151" s="700">
        <f>'[1]SPJ FUNGSIONAL '!O158</f>
        <v>9000000</v>
      </c>
      <c r="P151" s="688"/>
      <c r="Q151" s="688"/>
      <c r="R151" s="688"/>
      <c r="S151" s="689"/>
      <c r="T151" s="689">
        <f>'[1]SPJ FUNGSIONAL '!Z158</f>
        <v>8750000</v>
      </c>
      <c r="U151" s="689">
        <f t="shared" si="62"/>
        <v>8750000</v>
      </c>
      <c r="V151" s="689">
        <f t="shared" si="61"/>
        <v>250000</v>
      </c>
      <c r="W151" s="595"/>
      <c r="X151" s="595"/>
      <c r="Y151" s="646">
        <f t="shared" si="42"/>
        <v>0.97222222222222221</v>
      </c>
    </row>
    <row r="152" spans="1:25" s="588" customFormat="1" ht="40.5" customHeight="1">
      <c r="A152" s="623">
        <v>7</v>
      </c>
      <c r="B152" s="637" t="s">
        <v>348</v>
      </c>
      <c r="C152" s="637" t="s">
        <v>348</v>
      </c>
      <c r="D152" s="624">
        <v>2</v>
      </c>
      <c r="E152" s="637" t="s">
        <v>367</v>
      </c>
      <c r="F152" s="637" t="s">
        <v>367</v>
      </c>
      <c r="G152" s="624">
        <v>5</v>
      </c>
      <c r="H152" s="624">
        <v>2</v>
      </c>
      <c r="I152" s="692" t="s">
        <v>357</v>
      </c>
      <c r="J152" s="695"/>
      <c r="K152" s="695"/>
      <c r="L152" s="695"/>
      <c r="M152" s="701"/>
      <c r="N152" s="690" t="str">
        <f>'[1]SPJ FUNGSIONAL '!N159</f>
        <v xml:space="preserve">Belanja Modal Gedung dan Bangunan </v>
      </c>
      <c r="O152" s="691">
        <f t="shared" ref="O152:Q154" si="63">O153</f>
        <v>176580000</v>
      </c>
      <c r="P152" s="688">
        <f t="shared" si="63"/>
        <v>175794872.19999999</v>
      </c>
      <c r="Q152" s="688">
        <f t="shared" si="63"/>
        <v>0</v>
      </c>
      <c r="R152" s="688">
        <f>SUM(P152:Q152)</f>
        <v>175794872.19999999</v>
      </c>
      <c r="S152" s="688">
        <f t="shared" ref="S152:T154" si="64">S153</f>
        <v>175794872.19999999</v>
      </c>
      <c r="T152" s="688">
        <f t="shared" si="64"/>
        <v>0</v>
      </c>
      <c r="U152" s="688">
        <f t="shared" si="62"/>
        <v>175794872.19999999</v>
      </c>
      <c r="V152" s="688">
        <f t="shared" si="61"/>
        <v>785127.80000001192</v>
      </c>
      <c r="W152" s="595"/>
      <c r="X152" s="595"/>
      <c r="Y152" s="597">
        <f t="shared" si="42"/>
        <v>0.99555369917317926</v>
      </c>
    </row>
    <row r="153" spans="1:25" s="588" customFormat="1" ht="40.5" customHeight="1">
      <c r="A153" s="623">
        <v>7</v>
      </c>
      <c r="B153" s="637" t="s">
        <v>348</v>
      </c>
      <c r="C153" s="637" t="s">
        <v>348</v>
      </c>
      <c r="D153" s="624">
        <v>2</v>
      </c>
      <c r="E153" s="637" t="s">
        <v>367</v>
      </c>
      <c r="F153" s="637" t="s">
        <v>367</v>
      </c>
      <c r="G153" s="624">
        <v>5</v>
      </c>
      <c r="H153" s="624">
        <v>2</v>
      </c>
      <c r="I153" s="692" t="s">
        <v>357</v>
      </c>
      <c r="J153" s="695" t="s">
        <v>348</v>
      </c>
      <c r="K153" s="695"/>
      <c r="L153" s="695"/>
      <c r="M153" s="701"/>
      <c r="N153" s="690" t="str">
        <f>'[1]SPJ FUNGSIONAL '!N160</f>
        <v xml:space="preserve">Belanja Modal Bangunan Gedung </v>
      </c>
      <c r="O153" s="691">
        <f t="shared" si="63"/>
        <v>176580000</v>
      </c>
      <c r="P153" s="688">
        <f t="shared" si="63"/>
        <v>175794872.19999999</v>
      </c>
      <c r="Q153" s="688">
        <f t="shared" si="63"/>
        <v>0</v>
      </c>
      <c r="R153" s="688">
        <f>SUM(P153:Q153)</f>
        <v>175794872.19999999</v>
      </c>
      <c r="S153" s="688">
        <f t="shared" si="64"/>
        <v>175794872.19999999</v>
      </c>
      <c r="T153" s="688">
        <f t="shared" si="64"/>
        <v>0</v>
      </c>
      <c r="U153" s="688">
        <f t="shared" si="62"/>
        <v>175794872.19999999</v>
      </c>
      <c r="V153" s="688">
        <f t="shared" si="61"/>
        <v>785127.80000001192</v>
      </c>
      <c r="W153" s="595"/>
      <c r="X153" s="595"/>
      <c r="Y153" s="597">
        <f t="shared" si="42"/>
        <v>0.99555369917317926</v>
      </c>
    </row>
    <row r="154" spans="1:25" s="588" customFormat="1" ht="40.5" customHeight="1">
      <c r="A154" s="623">
        <v>7</v>
      </c>
      <c r="B154" s="637" t="s">
        <v>348</v>
      </c>
      <c r="C154" s="637" t="s">
        <v>348</v>
      </c>
      <c r="D154" s="624">
        <v>2</v>
      </c>
      <c r="E154" s="637" t="s">
        <v>367</v>
      </c>
      <c r="F154" s="637" t="s">
        <v>367</v>
      </c>
      <c r="G154" s="624">
        <v>5</v>
      </c>
      <c r="H154" s="624">
        <v>2</v>
      </c>
      <c r="I154" s="692" t="s">
        <v>357</v>
      </c>
      <c r="J154" s="695" t="s">
        <v>348</v>
      </c>
      <c r="K154" s="695" t="s">
        <v>348</v>
      </c>
      <c r="L154" s="695"/>
      <c r="M154" s="701"/>
      <c r="N154" s="690" t="str">
        <f>'[1]SPJ FUNGSIONAL '!N161</f>
        <v xml:space="preserve">Belanja Modal Bangunan Gedung Tempat Kerja </v>
      </c>
      <c r="O154" s="691">
        <f t="shared" si="63"/>
        <v>176580000</v>
      </c>
      <c r="P154" s="688">
        <f t="shared" si="63"/>
        <v>175794872.19999999</v>
      </c>
      <c r="Q154" s="688">
        <f t="shared" si="63"/>
        <v>0</v>
      </c>
      <c r="R154" s="688">
        <f>SUM(P154:Q154)</f>
        <v>175794872.19999999</v>
      </c>
      <c r="S154" s="688">
        <f t="shared" si="64"/>
        <v>175794872.19999999</v>
      </c>
      <c r="T154" s="688">
        <f t="shared" si="64"/>
        <v>0</v>
      </c>
      <c r="U154" s="688">
        <f t="shared" si="62"/>
        <v>175794872.19999999</v>
      </c>
      <c r="V154" s="688">
        <f t="shared" si="61"/>
        <v>785127.80000001192</v>
      </c>
      <c r="W154" s="595"/>
      <c r="X154" s="595"/>
      <c r="Y154" s="597">
        <f t="shared" si="42"/>
        <v>0.99555369917317926</v>
      </c>
    </row>
    <row r="155" spans="1:25" s="588" customFormat="1" ht="40.5" customHeight="1">
      <c r="A155" s="638">
        <v>7</v>
      </c>
      <c r="B155" s="639" t="s">
        <v>348</v>
      </c>
      <c r="C155" s="639" t="s">
        <v>348</v>
      </c>
      <c r="D155" s="640">
        <v>2</v>
      </c>
      <c r="E155" s="639" t="s">
        <v>367</v>
      </c>
      <c r="F155" s="639" t="s">
        <v>367</v>
      </c>
      <c r="G155" s="640">
        <v>5</v>
      </c>
      <c r="H155" s="640">
        <v>2</v>
      </c>
      <c r="I155" s="696" t="s">
        <v>357</v>
      </c>
      <c r="J155" s="697" t="s">
        <v>348</v>
      </c>
      <c r="K155" s="697" t="s">
        <v>348</v>
      </c>
      <c r="L155" s="697" t="s">
        <v>354</v>
      </c>
      <c r="M155" s="702" t="s">
        <v>336</v>
      </c>
      <c r="N155" s="699" t="str">
        <f>'[1]SPJ FUNGSIONAL '!N162</f>
        <v>Belanja Modal Bangunan Gedung Kantor (Gedung Kantor Lurah TPL)</v>
      </c>
      <c r="O155" s="700">
        <f>'[1]SPJ FUNGSIONAL '!O162</f>
        <v>176580000</v>
      </c>
      <c r="P155" s="689">
        <f>'[4]LRA SP2D'!$R$134</f>
        <v>175794872.19999999</v>
      </c>
      <c r="Q155" s="689">
        <f>T155</f>
        <v>0</v>
      </c>
      <c r="R155" s="689">
        <f>SUM(P155:Q155)</f>
        <v>175794872.19999999</v>
      </c>
      <c r="S155" s="689">
        <f>'[1]SPJ FUNGSIONAL '!AB162</f>
        <v>175794872.19999999</v>
      </c>
      <c r="T155" s="689">
        <f>'[1]SPJ FUNGSIONAL '!T162+'[1]SPJ FUNGSIONAL '!Z162</f>
        <v>0</v>
      </c>
      <c r="U155" s="689">
        <f t="shared" si="62"/>
        <v>175794872.19999999</v>
      </c>
      <c r="V155" s="689">
        <f t="shared" si="61"/>
        <v>785127.80000001192</v>
      </c>
      <c r="W155" s="644"/>
      <c r="X155" s="644"/>
      <c r="Y155" s="646">
        <f t="shared" si="42"/>
        <v>0.99555369917317926</v>
      </c>
    </row>
    <row r="156" spans="1:25" s="588" customFormat="1" ht="25" customHeight="1">
      <c r="A156" s="703"/>
      <c r="B156" s="704"/>
      <c r="C156" s="704"/>
      <c r="D156" s="704"/>
      <c r="E156" s="704"/>
      <c r="F156" s="704"/>
      <c r="G156" s="704"/>
      <c r="H156" s="704"/>
      <c r="I156" s="704"/>
      <c r="J156" s="704"/>
      <c r="K156" s="704"/>
      <c r="L156" s="704"/>
      <c r="M156" s="698"/>
      <c r="N156" s="705"/>
      <c r="O156" s="700"/>
      <c r="P156" s="644"/>
      <c r="Q156" s="644"/>
      <c r="R156" s="644">
        <f t="shared" si="39"/>
        <v>0</v>
      </c>
      <c r="S156" s="644"/>
      <c r="T156" s="644"/>
      <c r="U156" s="644">
        <f t="shared" si="40"/>
        <v>0</v>
      </c>
      <c r="V156" s="644">
        <f t="shared" si="61"/>
        <v>0</v>
      </c>
      <c r="W156" s="644">
        <f t="shared" ref="W156:W193" si="65">R156-U156</f>
        <v>0</v>
      </c>
      <c r="X156" s="644">
        <f t="shared" si="46"/>
        <v>0</v>
      </c>
      <c r="Y156" s="646"/>
    </row>
    <row r="157" spans="1:25" s="588" customFormat="1" ht="57" customHeight="1">
      <c r="A157" s="706">
        <v>7</v>
      </c>
      <c r="B157" s="707" t="s">
        <v>348</v>
      </c>
      <c r="C157" s="707" t="s">
        <v>350</v>
      </c>
      <c r="D157" s="708"/>
      <c r="E157" s="708"/>
      <c r="F157" s="708"/>
      <c r="G157" s="708"/>
      <c r="H157" s="708"/>
      <c r="I157" s="708"/>
      <c r="J157" s="708"/>
      <c r="K157" s="708"/>
      <c r="L157" s="708"/>
      <c r="M157" s="709"/>
      <c r="N157" s="710" t="s">
        <v>151</v>
      </c>
      <c r="O157" s="711">
        <f>O159+O182</f>
        <v>3525034400</v>
      </c>
      <c r="P157" s="711">
        <f t="shared" ref="P157:V157" si="66">P159+P182</f>
        <v>2834371405</v>
      </c>
      <c r="Q157" s="711">
        <f t="shared" si="66"/>
        <v>302512280</v>
      </c>
      <c r="R157" s="711">
        <f t="shared" si="66"/>
        <v>3136883685</v>
      </c>
      <c r="S157" s="711">
        <f t="shared" si="66"/>
        <v>2854486705</v>
      </c>
      <c r="T157" s="711">
        <f t="shared" si="66"/>
        <v>585280705</v>
      </c>
      <c r="U157" s="711">
        <f t="shared" si="66"/>
        <v>3439767410</v>
      </c>
      <c r="V157" s="711">
        <f t="shared" si="66"/>
        <v>85266990</v>
      </c>
      <c r="W157" s="712">
        <f>W159</f>
        <v>103500</v>
      </c>
      <c r="X157" s="712">
        <f t="shared" si="46"/>
        <v>-302883725</v>
      </c>
      <c r="Y157" s="713">
        <f t="shared" si="42"/>
        <v>0.97581101903572909</v>
      </c>
    </row>
    <row r="158" spans="1:25" s="588" customFormat="1" ht="25" customHeight="1">
      <c r="A158" s="703"/>
      <c r="B158" s="704"/>
      <c r="C158" s="704"/>
      <c r="D158" s="704"/>
      <c r="E158" s="704"/>
      <c r="F158" s="704"/>
      <c r="G158" s="704"/>
      <c r="H158" s="704"/>
      <c r="I158" s="704"/>
      <c r="J158" s="704"/>
      <c r="K158" s="704"/>
      <c r="L158" s="704"/>
      <c r="M158" s="698"/>
      <c r="N158" s="705"/>
      <c r="O158" s="700"/>
      <c r="P158" s="644"/>
      <c r="Q158" s="644"/>
      <c r="R158" s="644">
        <f t="shared" ref="R158:R221" si="67">P158+Q158</f>
        <v>0</v>
      </c>
      <c r="S158" s="644"/>
      <c r="T158" s="644"/>
      <c r="U158" s="644">
        <f t="shared" ref="U158:U221" si="68">S158+T158</f>
        <v>0</v>
      </c>
      <c r="V158" s="644">
        <f t="shared" si="61"/>
        <v>0</v>
      </c>
      <c r="W158" s="644">
        <f t="shared" si="65"/>
        <v>0</v>
      </c>
      <c r="X158" s="644">
        <f t="shared" si="46"/>
        <v>0</v>
      </c>
      <c r="Y158" s="646"/>
    </row>
    <row r="159" spans="1:25" s="588" customFormat="1" ht="61.5" customHeight="1">
      <c r="A159" s="714">
        <v>7</v>
      </c>
      <c r="B159" s="715" t="s">
        <v>348</v>
      </c>
      <c r="C159" s="715" t="s">
        <v>350</v>
      </c>
      <c r="D159" s="616">
        <v>2</v>
      </c>
      <c r="E159" s="615" t="s">
        <v>357</v>
      </c>
      <c r="F159" s="616"/>
      <c r="G159" s="616"/>
      <c r="H159" s="716"/>
      <c r="I159" s="716"/>
      <c r="J159" s="716"/>
      <c r="K159" s="716"/>
      <c r="L159" s="716"/>
      <c r="M159" s="716"/>
      <c r="N159" s="618" t="s">
        <v>456</v>
      </c>
      <c r="O159" s="717">
        <f>O161</f>
        <v>1661378500</v>
      </c>
      <c r="P159" s="718">
        <f>P161</f>
        <v>1395158380</v>
      </c>
      <c r="Q159" s="718">
        <f>Q161</f>
        <v>131771830</v>
      </c>
      <c r="R159" s="620">
        <f t="shared" si="67"/>
        <v>1526930210</v>
      </c>
      <c r="S159" s="718">
        <f>S161</f>
        <v>1395158380</v>
      </c>
      <c r="T159" s="718">
        <f>T161</f>
        <v>250468330</v>
      </c>
      <c r="U159" s="620">
        <f t="shared" si="68"/>
        <v>1645626710</v>
      </c>
      <c r="V159" s="620">
        <f t="shared" si="61"/>
        <v>15751790</v>
      </c>
      <c r="W159" s="620">
        <f>W161</f>
        <v>103500</v>
      </c>
      <c r="X159" s="620">
        <f t="shared" si="46"/>
        <v>-118696500</v>
      </c>
      <c r="Y159" s="621">
        <f t="shared" ref="Y159:Y222" si="69">U159/O159*100%</f>
        <v>0.99051884323770889</v>
      </c>
    </row>
    <row r="160" spans="1:25" s="588" customFormat="1" ht="25" customHeight="1">
      <c r="A160" s="703"/>
      <c r="B160" s="704"/>
      <c r="C160" s="704"/>
      <c r="D160" s="704"/>
      <c r="E160" s="704"/>
      <c r="F160" s="704"/>
      <c r="G160" s="704"/>
      <c r="H160" s="704"/>
      <c r="I160" s="704"/>
      <c r="J160" s="704"/>
      <c r="K160" s="704"/>
      <c r="L160" s="704"/>
      <c r="M160" s="698"/>
      <c r="N160" s="592"/>
      <c r="O160" s="691"/>
      <c r="P160" s="719"/>
      <c r="Q160" s="719"/>
      <c r="R160" s="595"/>
      <c r="S160" s="719"/>
      <c r="T160" s="719"/>
      <c r="U160" s="595"/>
      <c r="V160" s="595"/>
      <c r="W160" s="595"/>
      <c r="X160" s="595"/>
      <c r="Y160" s="597"/>
    </row>
    <row r="161" spans="1:29" s="588" customFormat="1" ht="94.5" customHeight="1">
      <c r="A161" s="720">
        <v>7</v>
      </c>
      <c r="B161" s="721" t="s">
        <v>348</v>
      </c>
      <c r="C161" s="721" t="s">
        <v>350</v>
      </c>
      <c r="D161" s="631">
        <v>2</v>
      </c>
      <c r="E161" s="722" t="s">
        <v>357</v>
      </c>
      <c r="F161" s="722" t="s">
        <v>348</v>
      </c>
      <c r="G161" s="723"/>
      <c r="H161" s="724"/>
      <c r="I161" s="724"/>
      <c r="J161" s="724"/>
      <c r="K161" s="724"/>
      <c r="L161" s="724"/>
      <c r="M161" s="725"/>
      <c r="N161" s="665" t="s">
        <v>457</v>
      </c>
      <c r="O161" s="634">
        <f t="shared" ref="O161" si="70">O162</f>
        <v>1661378500</v>
      </c>
      <c r="P161" s="635">
        <f>P162</f>
        <v>1395158380</v>
      </c>
      <c r="Q161" s="635">
        <f>Q162+Q178</f>
        <v>131771830</v>
      </c>
      <c r="R161" s="635">
        <f t="shared" si="67"/>
        <v>1526930210</v>
      </c>
      <c r="S161" s="635">
        <f>S162+S178</f>
        <v>1395158380</v>
      </c>
      <c r="T161" s="635">
        <f>T162+T178</f>
        <v>250468330</v>
      </c>
      <c r="U161" s="635">
        <f t="shared" si="68"/>
        <v>1645626710</v>
      </c>
      <c r="V161" s="635">
        <f t="shared" si="61"/>
        <v>15751790</v>
      </c>
      <c r="W161" s="635">
        <f>W177</f>
        <v>103500</v>
      </c>
      <c r="X161" s="635">
        <f t="shared" si="46"/>
        <v>-118696500</v>
      </c>
      <c r="Y161" s="666">
        <f t="shared" si="69"/>
        <v>0.99051884323770889</v>
      </c>
    </row>
    <row r="162" spans="1:29" s="588" customFormat="1" ht="39.75" customHeight="1">
      <c r="A162" s="726">
        <v>7</v>
      </c>
      <c r="B162" s="727" t="s">
        <v>348</v>
      </c>
      <c r="C162" s="727" t="s">
        <v>350</v>
      </c>
      <c r="D162" s="624">
        <v>2</v>
      </c>
      <c r="E162" s="637" t="s">
        <v>357</v>
      </c>
      <c r="F162" s="637" t="s">
        <v>348</v>
      </c>
      <c r="G162" s="624">
        <v>5</v>
      </c>
      <c r="H162" s="624">
        <v>1</v>
      </c>
      <c r="I162" s="637" t="s">
        <v>350</v>
      </c>
      <c r="J162" s="673"/>
      <c r="K162" s="660"/>
      <c r="L162" s="660"/>
      <c r="M162" s="670"/>
      <c r="N162" s="668" t="s">
        <v>377</v>
      </c>
      <c r="O162" s="691">
        <f>O163+O168+O175+O178</f>
        <v>1661378500</v>
      </c>
      <c r="P162" s="719">
        <f>P163+P168+P175+P178</f>
        <v>1395158380</v>
      </c>
      <c r="Q162" s="719">
        <f>Q163+Q168+Q175</f>
        <v>131771830</v>
      </c>
      <c r="R162" s="595">
        <f t="shared" si="67"/>
        <v>1526930210</v>
      </c>
      <c r="S162" s="719">
        <f>S163+S168+S175</f>
        <v>1371158380</v>
      </c>
      <c r="T162" s="719">
        <f>T163+T168+T175</f>
        <v>250468330</v>
      </c>
      <c r="U162" s="595">
        <f t="shared" si="68"/>
        <v>1621626710</v>
      </c>
      <c r="V162" s="595">
        <f t="shared" si="61"/>
        <v>39751790</v>
      </c>
      <c r="W162" s="595"/>
      <c r="X162" s="595">
        <f t="shared" si="46"/>
        <v>-94696500</v>
      </c>
      <c r="Y162" s="597">
        <f t="shared" si="69"/>
        <v>0.97607300804723307</v>
      </c>
      <c r="AC162" s="588">
        <v>73590175</v>
      </c>
    </row>
    <row r="163" spans="1:29" s="588" customFormat="1" ht="39.75" customHeight="1">
      <c r="A163" s="726">
        <v>7</v>
      </c>
      <c r="B163" s="727" t="s">
        <v>348</v>
      </c>
      <c r="C163" s="727" t="s">
        <v>350</v>
      </c>
      <c r="D163" s="624">
        <v>2</v>
      </c>
      <c r="E163" s="637" t="s">
        <v>357</v>
      </c>
      <c r="F163" s="637" t="s">
        <v>348</v>
      </c>
      <c r="G163" s="624">
        <v>5</v>
      </c>
      <c r="H163" s="624">
        <v>1</v>
      </c>
      <c r="I163" s="637" t="s">
        <v>350</v>
      </c>
      <c r="J163" s="672" t="s">
        <v>348</v>
      </c>
      <c r="K163" s="660"/>
      <c r="L163" s="660"/>
      <c r="M163" s="670"/>
      <c r="N163" s="668" t="s">
        <v>398</v>
      </c>
      <c r="O163" s="691">
        <f>O164</f>
        <v>128384260</v>
      </c>
      <c r="P163" s="719">
        <f>P164</f>
        <v>102142500</v>
      </c>
      <c r="Q163" s="719">
        <f>Q164</f>
        <v>15246750</v>
      </c>
      <c r="R163" s="595">
        <f t="shared" si="67"/>
        <v>117389250</v>
      </c>
      <c r="S163" s="719">
        <f>S164</f>
        <v>102142500</v>
      </c>
      <c r="T163" s="719">
        <f>T164</f>
        <v>15246750</v>
      </c>
      <c r="U163" s="595">
        <f t="shared" si="68"/>
        <v>117389250</v>
      </c>
      <c r="V163" s="595">
        <f t="shared" si="61"/>
        <v>10995010</v>
      </c>
      <c r="W163" s="595"/>
      <c r="X163" s="595">
        <f t="shared" si="46"/>
        <v>0</v>
      </c>
      <c r="Y163" s="597">
        <f t="shared" si="69"/>
        <v>0.91435858258637004</v>
      </c>
      <c r="AC163" s="588">
        <v>73588175</v>
      </c>
    </row>
    <row r="164" spans="1:29" s="588" customFormat="1" ht="39.75" customHeight="1">
      <c r="A164" s="726">
        <v>7</v>
      </c>
      <c r="B164" s="727" t="s">
        <v>348</v>
      </c>
      <c r="C164" s="727" t="s">
        <v>350</v>
      </c>
      <c r="D164" s="624">
        <v>2</v>
      </c>
      <c r="E164" s="637" t="s">
        <v>357</v>
      </c>
      <c r="F164" s="637" t="s">
        <v>348</v>
      </c>
      <c r="G164" s="624">
        <v>5</v>
      </c>
      <c r="H164" s="624">
        <v>1</v>
      </c>
      <c r="I164" s="637" t="s">
        <v>350</v>
      </c>
      <c r="J164" s="672" t="s">
        <v>348</v>
      </c>
      <c r="K164" s="672" t="s">
        <v>348</v>
      </c>
      <c r="L164" s="660"/>
      <c r="M164" s="670"/>
      <c r="N164" s="668" t="s">
        <v>379</v>
      </c>
      <c r="O164" s="691">
        <f>SUM(O165:O167)</f>
        <v>128384260</v>
      </c>
      <c r="P164" s="719">
        <f>SUM(P165:P167)</f>
        <v>102142500</v>
      </c>
      <c r="Q164" s="719">
        <f>SUM(Q165:Q167)</f>
        <v>15246750</v>
      </c>
      <c r="R164" s="595">
        <f>P164+Q164</f>
        <v>117389250</v>
      </c>
      <c r="S164" s="719">
        <f>SUM(S165:S167)</f>
        <v>102142500</v>
      </c>
      <c r="T164" s="719">
        <f>SUM(T165:T167)</f>
        <v>15246750</v>
      </c>
      <c r="U164" s="595">
        <f t="shared" si="68"/>
        <v>117389250</v>
      </c>
      <c r="V164" s="595">
        <f t="shared" si="61"/>
        <v>10995010</v>
      </c>
      <c r="W164" s="595"/>
      <c r="X164" s="595">
        <f t="shared" si="46"/>
        <v>0</v>
      </c>
      <c r="Y164" s="597">
        <f t="shared" si="69"/>
        <v>0.91435858258637004</v>
      </c>
      <c r="AC164" s="588">
        <f>AC162-AC163</f>
        <v>2000</v>
      </c>
    </row>
    <row r="165" spans="1:29" s="588" customFormat="1" ht="39.75" customHeight="1">
      <c r="A165" s="728">
        <v>7</v>
      </c>
      <c r="B165" s="729" t="s">
        <v>348</v>
      </c>
      <c r="C165" s="729" t="s">
        <v>350</v>
      </c>
      <c r="D165" s="640">
        <v>2</v>
      </c>
      <c r="E165" s="639" t="s">
        <v>357</v>
      </c>
      <c r="F165" s="639" t="s">
        <v>348</v>
      </c>
      <c r="G165" s="640">
        <v>5</v>
      </c>
      <c r="H165" s="640">
        <v>1</v>
      </c>
      <c r="I165" s="639" t="s">
        <v>350</v>
      </c>
      <c r="J165" s="654" t="s">
        <v>348</v>
      </c>
      <c r="K165" s="654" t="s">
        <v>348</v>
      </c>
      <c r="L165" s="654" t="s">
        <v>354</v>
      </c>
      <c r="M165" s="670">
        <v>4</v>
      </c>
      <c r="N165" s="663" t="str">
        <f>'[1]SPJ FUNGSIONAL '!N172</f>
        <v>Belanja Bahan-Bahan Bakar dan Pelumas</v>
      </c>
      <c r="O165" s="700">
        <f>'[1]SPJ FUNGSIONAL '!O172</f>
        <v>113805160</v>
      </c>
      <c r="P165" s="644">
        <f>'[2]LRA SP2D'!$R$165</f>
        <v>88902000</v>
      </c>
      <c r="Q165" s="644">
        <v>14721750</v>
      </c>
      <c r="R165" s="644">
        <f t="shared" si="67"/>
        <v>103623750</v>
      </c>
      <c r="S165" s="644">
        <f>'[1]SPJ FUNGSIONAL '!Y172</f>
        <v>88902000</v>
      </c>
      <c r="T165" s="644">
        <f>'[1]SPJ FUNGSIONAL '!Z172</f>
        <v>14721750</v>
      </c>
      <c r="U165" s="644">
        <f t="shared" si="68"/>
        <v>103623750</v>
      </c>
      <c r="V165" s="644">
        <f t="shared" si="61"/>
        <v>10181410</v>
      </c>
      <c r="W165" s="644"/>
      <c r="X165" s="644">
        <f t="shared" si="46"/>
        <v>0</v>
      </c>
      <c r="Y165" s="646">
        <f t="shared" si="69"/>
        <v>0.91053648182560443</v>
      </c>
    </row>
    <row r="166" spans="1:29" s="588" customFormat="1" ht="39.75" customHeight="1">
      <c r="A166" s="728">
        <v>7</v>
      </c>
      <c r="B166" s="729" t="s">
        <v>348</v>
      </c>
      <c r="C166" s="729" t="s">
        <v>350</v>
      </c>
      <c r="D166" s="640">
        <v>2</v>
      </c>
      <c r="E166" s="639" t="s">
        <v>357</v>
      </c>
      <c r="F166" s="639" t="s">
        <v>348</v>
      </c>
      <c r="G166" s="640">
        <v>5</v>
      </c>
      <c r="H166" s="640">
        <v>1</v>
      </c>
      <c r="I166" s="639" t="s">
        <v>350</v>
      </c>
      <c r="J166" s="654" t="s">
        <v>348</v>
      </c>
      <c r="K166" s="654" t="s">
        <v>348</v>
      </c>
      <c r="L166" s="654" t="s">
        <v>380</v>
      </c>
      <c r="M166" s="681" t="s">
        <v>420</v>
      </c>
      <c r="N166" s="663" t="str">
        <f>'[1]SPJ FUNGSIONAL '!N173</f>
        <v xml:space="preserve">Belanja Alat/Bahan Untuk Kegiatan Kantor-Perabot Kantor </v>
      </c>
      <c r="O166" s="700">
        <f>'[1]SPJ FUNGSIONAL '!O173</f>
        <v>8400800</v>
      </c>
      <c r="P166" s="644">
        <f>'[2]LRA SP2D'!$R$166</f>
        <v>7296400</v>
      </c>
      <c r="Q166" s="644">
        <v>525000</v>
      </c>
      <c r="R166" s="644">
        <f t="shared" si="67"/>
        <v>7821400</v>
      </c>
      <c r="S166" s="644">
        <f>'[1]SPJ FUNGSIONAL '!Y173</f>
        <v>7296400</v>
      </c>
      <c r="T166" s="644">
        <f>'[1]SPJ FUNGSIONAL '!Z173</f>
        <v>525000</v>
      </c>
      <c r="U166" s="644">
        <f t="shared" si="68"/>
        <v>7821400</v>
      </c>
      <c r="V166" s="644">
        <f t="shared" si="61"/>
        <v>579400</v>
      </c>
      <c r="W166" s="644"/>
      <c r="X166" s="644">
        <f t="shared" si="46"/>
        <v>0</v>
      </c>
      <c r="Y166" s="646">
        <f t="shared" si="69"/>
        <v>0.9310303780592325</v>
      </c>
    </row>
    <row r="167" spans="1:29" s="588" customFormat="1" ht="39.75" customHeight="1">
      <c r="A167" s="728">
        <v>7</v>
      </c>
      <c r="B167" s="729" t="s">
        <v>348</v>
      </c>
      <c r="C167" s="729" t="s">
        <v>350</v>
      </c>
      <c r="D167" s="640">
        <v>2</v>
      </c>
      <c r="E167" s="639" t="s">
        <v>357</v>
      </c>
      <c r="F167" s="639" t="s">
        <v>348</v>
      </c>
      <c r="G167" s="640">
        <v>5</v>
      </c>
      <c r="H167" s="640">
        <v>1</v>
      </c>
      <c r="I167" s="639" t="s">
        <v>350</v>
      </c>
      <c r="J167" s="654" t="s">
        <v>348</v>
      </c>
      <c r="K167" s="654" t="s">
        <v>348</v>
      </c>
      <c r="L167" s="654" t="s">
        <v>380</v>
      </c>
      <c r="M167" s="681">
        <v>6</v>
      </c>
      <c r="N167" s="663" t="str">
        <f>'[1]SPJ FUNGSIONAL '!N174</f>
        <v>Belanja Alat/Bahan Untuk Kegiatan Kantor-Alat/Bahan Untuk Kegiatan Kantor Lainnya</v>
      </c>
      <c r="O167" s="700">
        <f>'[1]SPJ FUNGSIONAL '!O174</f>
        <v>6178300</v>
      </c>
      <c r="P167" s="644">
        <f>'[2]LRA SP2D'!$R$167</f>
        <v>5944100</v>
      </c>
      <c r="Q167" s="644"/>
      <c r="R167" s="644">
        <f t="shared" si="67"/>
        <v>5944100</v>
      </c>
      <c r="S167" s="644">
        <f>'[1]SPJ FUNGSIONAL '!Y174</f>
        <v>5944100</v>
      </c>
      <c r="T167" s="644">
        <f>'[1]SPJ FUNGSIONAL '!Z174</f>
        <v>0</v>
      </c>
      <c r="U167" s="644">
        <f t="shared" si="68"/>
        <v>5944100</v>
      </c>
      <c r="V167" s="644">
        <f t="shared" si="61"/>
        <v>234200</v>
      </c>
      <c r="W167" s="644"/>
      <c r="X167" s="644">
        <f t="shared" si="46"/>
        <v>0</v>
      </c>
      <c r="Y167" s="646">
        <f t="shared" si="69"/>
        <v>0.96209313241506567</v>
      </c>
    </row>
    <row r="168" spans="1:29" s="588" customFormat="1" ht="39.75" customHeight="1">
      <c r="A168" s="726">
        <v>7</v>
      </c>
      <c r="B168" s="727" t="s">
        <v>348</v>
      </c>
      <c r="C168" s="727" t="s">
        <v>350</v>
      </c>
      <c r="D168" s="624">
        <v>2</v>
      </c>
      <c r="E168" s="637" t="s">
        <v>357</v>
      </c>
      <c r="F168" s="637" t="s">
        <v>348</v>
      </c>
      <c r="G168" s="624">
        <v>5</v>
      </c>
      <c r="H168" s="624">
        <v>1</v>
      </c>
      <c r="I168" s="637" t="s">
        <v>350</v>
      </c>
      <c r="J168" s="672" t="s">
        <v>350</v>
      </c>
      <c r="K168" s="660"/>
      <c r="L168" s="660"/>
      <c r="M168" s="670"/>
      <c r="N168" s="668" t="s">
        <v>391</v>
      </c>
      <c r="O168" s="691">
        <f>O169+O172</f>
        <v>1484994240</v>
      </c>
      <c r="P168" s="719">
        <f>P169+P172</f>
        <v>1246427880</v>
      </c>
      <c r="Q168" s="719">
        <f>Q169+Q172</f>
        <v>115832080</v>
      </c>
      <c r="R168" s="595">
        <f>P168+Q168</f>
        <v>1362259960</v>
      </c>
      <c r="S168" s="719">
        <f>S169+S172</f>
        <v>1246427880</v>
      </c>
      <c r="T168" s="719">
        <f>T169+T172</f>
        <v>234632080</v>
      </c>
      <c r="U168" s="595">
        <f t="shared" si="68"/>
        <v>1481059960</v>
      </c>
      <c r="V168" s="595">
        <f t="shared" si="61"/>
        <v>3934280</v>
      </c>
      <c r="W168" s="595"/>
      <c r="X168" s="595">
        <f t="shared" si="46"/>
        <v>-118800000</v>
      </c>
      <c r="Y168" s="597">
        <f t="shared" si="69"/>
        <v>0.99735064292235909</v>
      </c>
    </row>
    <row r="169" spans="1:29" s="588" customFormat="1" ht="39.75" customHeight="1">
      <c r="A169" s="726">
        <v>7</v>
      </c>
      <c r="B169" s="727" t="s">
        <v>348</v>
      </c>
      <c r="C169" s="727" t="s">
        <v>350</v>
      </c>
      <c r="D169" s="624">
        <v>2</v>
      </c>
      <c r="E169" s="637" t="s">
        <v>357</v>
      </c>
      <c r="F169" s="637" t="s">
        <v>348</v>
      </c>
      <c r="G169" s="624">
        <v>5</v>
      </c>
      <c r="H169" s="624">
        <v>1</v>
      </c>
      <c r="I169" s="637" t="s">
        <v>350</v>
      </c>
      <c r="J169" s="672" t="s">
        <v>350</v>
      </c>
      <c r="K169" s="672" t="s">
        <v>348</v>
      </c>
      <c r="L169" s="660"/>
      <c r="M169" s="670"/>
      <c r="N169" s="668" t="s">
        <v>459</v>
      </c>
      <c r="O169" s="691">
        <f>SUM(O170:O171)</f>
        <v>1476000000</v>
      </c>
      <c r="P169" s="719">
        <f>SUM(P170:P171)</f>
        <v>1239585000</v>
      </c>
      <c r="Q169" s="719">
        <f>SUM(Q170:Q171)</f>
        <v>115210000</v>
      </c>
      <c r="R169" s="595">
        <f>P169+Q169</f>
        <v>1354795000</v>
      </c>
      <c r="S169" s="719">
        <f>SUM(S170:S171)</f>
        <v>1239585000</v>
      </c>
      <c r="T169" s="719">
        <f>SUM(T170:T171)</f>
        <v>234010000</v>
      </c>
      <c r="U169" s="595">
        <f t="shared" si="68"/>
        <v>1473595000</v>
      </c>
      <c r="V169" s="595">
        <f t="shared" si="61"/>
        <v>2405000</v>
      </c>
      <c r="W169" s="595"/>
      <c r="X169" s="595">
        <f t="shared" ref="X169:X231" si="71">R169-U169</f>
        <v>-118800000</v>
      </c>
      <c r="Y169" s="597">
        <f t="shared" si="69"/>
        <v>0.99837059620596202</v>
      </c>
    </row>
    <row r="170" spans="1:29" s="588" customFormat="1" ht="39.75" customHeight="1">
      <c r="A170" s="728">
        <v>7</v>
      </c>
      <c r="B170" s="729" t="s">
        <v>348</v>
      </c>
      <c r="C170" s="729" t="s">
        <v>350</v>
      </c>
      <c r="D170" s="640">
        <v>2</v>
      </c>
      <c r="E170" s="639" t="s">
        <v>357</v>
      </c>
      <c r="F170" s="639" t="s">
        <v>348</v>
      </c>
      <c r="G170" s="640">
        <v>5</v>
      </c>
      <c r="H170" s="640">
        <v>1</v>
      </c>
      <c r="I170" s="639" t="s">
        <v>350</v>
      </c>
      <c r="J170" s="654" t="s">
        <v>350</v>
      </c>
      <c r="K170" s="654" t="s">
        <v>348</v>
      </c>
      <c r="L170" s="654" t="s">
        <v>380</v>
      </c>
      <c r="M170" s="681" t="s">
        <v>420</v>
      </c>
      <c r="N170" s="663" t="str">
        <f>'[1]SPJ FUNGSIONAL '!N177</f>
        <v>Belanja Jasa Tenaga Kebersihan</v>
      </c>
      <c r="O170" s="700">
        <f>'[1]SPJ FUNGSIONAL '!O177</f>
        <v>1473600000</v>
      </c>
      <c r="P170" s="644">
        <f>'[2]LRA SP2D'!$R$170</f>
        <v>1238800000</v>
      </c>
      <c r="Q170" s="644">
        <v>114960000</v>
      </c>
      <c r="R170" s="644">
        <f t="shared" si="67"/>
        <v>1353760000</v>
      </c>
      <c r="S170" s="644">
        <f>'[1]SPJ FUNGSIONAL '!Y177</f>
        <v>1238800000</v>
      </c>
      <c r="T170" s="644">
        <f>'[1]SPJ FUNGSIONAL '!Z177</f>
        <v>233760000</v>
      </c>
      <c r="U170" s="644">
        <f t="shared" si="68"/>
        <v>1472560000</v>
      </c>
      <c r="V170" s="644">
        <f t="shared" si="61"/>
        <v>1040000</v>
      </c>
      <c r="W170" s="644"/>
      <c r="X170" s="644">
        <f t="shared" si="71"/>
        <v>-118800000</v>
      </c>
      <c r="Y170" s="646">
        <f t="shared" si="69"/>
        <v>0.99929424538545064</v>
      </c>
    </row>
    <row r="171" spans="1:29" s="588" customFormat="1" ht="39.75" customHeight="1">
      <c r="A171" s="728">
        <v>7</v>
      </c>
      <c r="B171" s="729" t="s">
        <v>348</v>
      </c>
      <c r="C171" s="729" t="s">
        <v>350</v>
      </c>
      <c r="D171" s="640">
        <v>2</v>
      </c>
      <c r="E171" s="639" t="s">
        <v>357</v>
      </c>
      <c r="F171" s="639" t="s">
        <v>348</v>
      </c>
      <c r="G171" s="640">
        <v>5</v>
      </c>
      <c r="H171" s="640">
        <v>1</v>
      </c>
      <c r="I171" s="639" t="s">
        <v>350</v>
      </c>
      <c r="J171" s="654" t="s">
        <v>350</v>
      </c>
      <c r="K171" s="654" t="s">
        <v>348</v>
      </c>
      <c r="L171" s="654" t="s">
        <v>419</v>
      </c>
      <c r="M171" s="670">
        <v>7</v>
      </c>
      <c r="N171" s="642" t="str">
        <f>'[1]SPJ FUNGSIONAL '!N178</f>
        <v xml:space="preserve">Belanja Pembayaran Pajak, Bea dan Perizinan </v>
      </c>
      <c r="O171" s="700">
        <f>'[1]SPJ FUNGSIONAL '!O178</f>
        <v>2400000</v>
      </c>
      <c r="P171" s="644">
        <f>'[2]LRA SP2D'!$R$171</f>
        <v>785000</v>
      </c>
      <c r="Q171" s="644">
        <v>250000</v>
      </c>
      <c r="R171" s="644">
        <f t="shared" si="67"/>
        <v>1035000</v>
      </c>
      <c r="S171" s="644">
        <f>'[1]SPJ FUNGSIONAL '!Y178</f>
        <v>785000</v>
      </c>
      <c r="T171" s="644">
        <f>'[1]SPJ FUNGSIONAL '!Z178</f>
        <v>250000</v>
      </c>
      <c r="U171" s="644">
        <f t="shared" si="68"/>
        <v>1035000</v>
      </c>
      <c r="V171" s="644">
        <f t="shared" si="61"/>
        <v>1365000</v>
      </c>
      <c r="W171" s="644">
        <f t="shared" si="65"/>
        <v>0</v>
      </c>
      <c r="X171" s="644">
        <f t="shared" si="71"/>
        <v>0</v>
      </c>
      <c r="Y171" s="646">
        <f t="shared" si="69"/>
        <v>0.43125000000000002</v>
      </c>
    </row>
    <row r="172" spans="1:29" s="588" customFormat="1" ht="39.75" customHeight="1">
      <c r="A172" s="726">
        <v>7</v>
      </c>
      <c r="B172" s="727" t="s">
        <v>348</v>
      </c>
      <c r="C172" s="727" t="s">
        <v>350</v>
      </c>
      <c r="D172" s="624">
        <v>2</v>
      </c>
      <c r="E172" s="637" t="s">
        <v>357</v>
      </c>
      <c r="F172" s="637" t="s">
        <v>348</v>
      </c>
      <c r="G172" s="624">
        <v>5</v>
      </c>
      <c r="H172" s="624">
        <v>1</v>
      </c>
      <c r="I172" s="637" t="s">
        <v>350</v>
      </c>
      <c r="J172" s="672" t="s">
        <v>350</v>
      </c>
      <c r="K172" s="672" t="s">
        <v>350</v>
      </c>
      <c r="L172" s="660"/>
      <c r="M172" s="670"/>
      <c r="N172" s="668" t="s">
        <v>428</v>
      </c>
      <c r="O172" s="691">
        <f>SUM(O173:O174)</f>
        <v>8994240</v>
      </c>
      <c r="P172" s="719">
        <f>SUM(P173:P174)</f>
        <v>6842880</v>
      </c>
      <c r="Q172" s="719">
        <f>SUM(Q173:Q174)</f>
        <v>622080</v>
      </c>
      <c r="R172" s="595">
        <f t="shared" si="67"/>
        <v>7464960</v>
      </c>
      <c r="S172" s="719">
        <f>SUM(S173:S174)</f>
        <v>6842880</v>
      </c>
      <c r="T172" s="719">
        <f>SUM(T173:T174)</f>
        <v>622080</v>
      </c>
      <c r="U172" s="595">
        <f t="shared" si="68"/>
        <v>7464960</v>
      </c>
      <c r="V172" s="595">
        <f t="shared" si="61"/>
        <v>1529280</v>
      </c>
      <c r="W172" s="595"/>
      <c r="X172" s="595">
        <f t="shared" si="71"/>
        <v>0</v>
      </c>
      <c r="Y172" s="597">
        <f t="shared" si="69"/>
        <v>0.82997118155619598</v>
      </c>
    </row>
    <row r="173" spans="1:29" s="588" customFormat="1" ht="39.75" customHeight="1">
      <c r="A173" s="728">
        <v>7</v>
      </c>
      <c r="B173" s="729" t="s">
        <v>348</v>
      </c>
      <c r="C173" s="729" t="s">
        <v>350</v>
      </c>
      <c r="D173" s="640">
        <v>2</v>
      </c>
      <c r="E173" s="639" t="s">
        <v>357</v>
      </c>
      <c r="F173" s="639" t="s">
        <v>348</v>
      </c>
      <c r="G173" s="640">
        <v>5</v>
      </c>
      <c r="H173" s="640">
        <v>1</v>
      </c>
      <c r="I173" s="639" t="s">
        <v>350</v>
      </c>
      <c r="J173" s="654" t="s">
        <v>350</v>
      </c>
      <c r="K173" s="654" t="s">
        <v>350</v>
      </c>
      <c r="L173" s="654" t="s">
        <v>354</v>
      </c>
      <c r="M173" s="670">
        <v>6</v>
      </c>
      <c r="N173" s="663" t="str">
        <f>'[1]SPJ FUNGSIONAL '!N180</f>
        <v>Belanja Iuran Jaminan Kecelakaan Kerja bagi Non ASN</v>
      </c>
      <c r="O173" s="700">
        <f>'[1]SPJ FUNGSIONAL '!O180</f>
        <v>3758400</v>
      </c>
      <c r="P173" s="644">
        <f>'[2]LRA SP2D'!$R$173</f>
        <v>3041280</v>
      </c>
      <c r="Q173" s="644">
        <v>259200</v>
      </c>
      <c r="R173" s="644">
        <f t="shared" si="67"/>
        <v>3300480</v>
      </c>
      <c r="S173" s="644">
        <f>'[1]SPJ FUNGSIONAL '!Y180</f>
        <v>3041280</v>
      </c>
      <c r="T173" s="644">
        <f>'[1]SPJ FUNGSIONAL '!Z180</f>
        <v>259200</v>
      </c>
      <c r="U173" s="644">
        <f t="shared" si="68"/>
        <v>3300480</v>
      </c>
      <c r="V173" s="644">
        <f t="shared" si="61"/>
        <v>457920</v>
      </c>
      <c r="W173" s="644"/>
      <c r="X173" s="644">
        <f t="shared" si="71"/>
        <v>0</v>
      </c>
      <c r="Y173" s="646">
        <f t="shared" si="69"/>
        <v>0.8781609195402299</v>
      </c>
    </row>
    <row r="174" spans="1:29" s="588" customFormat="1" ht="39.75" customHeight="1">
      <c r="A174" s="728">
        <v>7</v>
      </c>
      <c r="B174" s="729" t="s">
        <v>348</v>
      </c>
      <c r="C174" s="729" t="s">
        <v>350</v>
      </c>
      <c r="D174" s="640">
        <v>2</v>
      </c>
      <c r="E174" s="639" t="s">
        <v>357</v>
      </c>
      <c r="F174" s="639" t="s">
        <v>348</v>
      </c>
      <c r="G174" s="640">
        <v>5</v>
      </c>
      <c r="H174" s="640">
        <v>1</v>
      </c>
      <c r="I174" s="639" t="s">
        <v>350</v>
      </c>
      <c r="J174" s="654" t="s">
        <v>350</v>
      </c>
      <c r="K174" s="654" t="s">
        <v>350</v>
      </c>
      <c r="L174" s="654" t="s">
        <v>354</v>
      </c>
      <c r="M174" s="670">
        <v>7</v>
      </c>
      <c r="N174" s="642" t="str">
        <f>'[1]SPJ FUNGSIONAL '!N181</f>
        <v>Belanja Iuran Jaminan Kematian bagi Non ASN</v>
      </c>
      <c r="O174" s="700">
        <f>'[1]SPJ FUNGSIONAL '!O181</f>
        <v>5235840</v>
      </c>
      <c r="P174" s="644">
        <f>'[2]LRA SP2D'!$R$174</f>
        <v>3801600</v>
      </c>
      <c r="Q174" s="644">
        <v>362880</v>
      </c>
      <c r="R174" s="644">
        <f t="shared" si="67"/>
        <v>4164480</v>
      </c>
      <c r="S174" s="644">
        <f>'[1]SPJ FUNGSIONAL '!Y181</f>
        <v>3801600</v>
      </c>
      <c r="T174" s="644">
        <f>'[1]SPJ FUNGSIONAL '!Z181</f>
        <v>362880</v>
      </c>
      <c r="U174" s="644">
        <f t="shared" si="68"/>
        <v>4164480</v>
      </c>
      <c r="V174" s="644">
        <f t="shared" si="61"/>
        <v>1071360</v>
      </c>
      <c r="W174" s="644"/>
      <c r="X174" s="644">
        <f t="shared" si="71"/>
        <v>0</v>
      </c>
      <c r="Y174" s="646">
        <f t="shared" si="69"/>
        <v>0.79537953795379535</v>
      </c>
    </row>
    <row r="175" spans="1:29" s="588" customFormat="1" ht="39.75" customHeight="1">
      <c r="A175" s="726">
        <v>7</v>
      </c>
      <c r="B175" s="727" t="s">
        <v>348</v>
      </c>
      <c r="C175" s="727" t="s">
        <v>350</v>
      </c>
      <c r="D175" s="624">
        <v>2</v>
      </c>
      <c r="E175" s="637" t="s">
        <v>357</v>
      </c>
      <c r="F175" s="637" t="s">
        <v>336</v>
      </c>
      <c r="G175" s="624">
        <v>5</v>
      </c>
      <c r="H175" s="624">
        <v>1</v>
      </c>
      <c r="I175" s="637" t="s">
        <v>350</v>
      </c>
      <c r="J175" s="672" t="s">
        <v>357</v>
      </c>
      <c r="K175" s="673"/>
      <c r="L175" s="660"/>
      <c r="M175" s="670"/>
      <c r="N175" s="668" t="s">
        <v>463</v>
      </c>
      <c r="O175" s="691">
        <f t="shared" ref="O175:Q176" si="72">O176</f>
        <v>24000000</v>
      </c>
      <c r="P175" s="719">
        <f t="shared" si="72"/>
        <v>22588000</v>
      </c>
      <c r="Q175" s="719">
        <f t="shared" si="72"/>
        <v>693000</v>
      </c>
      <c r="R175" s="595">
        <f t="shared" si="67"/>
        <v>23281000</v>
      </c>
      <c r="S175" s="719">
        <f>S176</f>
        <v>22588000</v>
      </c>
      <c r="T175" s="719">
        <f>T176</f>
        <v>589500</v>
      </c>
      <c r="U175" s="595">
        <f t="shared" si="68"/>
        <v>23177500</v>
      </c>
      <c r="V175" s="595">
        <f t="shared" si="61"/>
        <v>822500</v>
      </c>
      <c r="W175" s="595"/>
      <c r="X175" s="595"/>
      <c r="Y175" s="597">
        <f t="shared" si="69"/>
        <v>0.96572916666666664</v>
      </c>
    </row>
    <row r="176" spans="1:29" s="588" customFormat="1" ht="39.75" customHeight="1">
      <c r="A176" s="726">
        <v>7</v>
      </c>
      <c r="B176" s="727" t="s">
        <v>348</v>
      </c>
      <c r="C176" s="727" t="s">
        <v>350</v>
      </c>
      <c r="D176" s="624">
        <v>2</v>
      </c>
      <c r="E176" s="637" t="s">
        <v>357</v>
      </c>
      <c r="F176" s="637" t="s">
        <v>348</v>
      </c>
      <c r="G176" s="624">
        <v>5</v>
      </c>
      <c r="H176" s="624">
        <v>1</v>
      </c>
      <c r="I176" s="637" t="s">
        <v>350</v>
      </c>
      <c r="J176" s="672" t="s">
        <v>357</v>
      </c>
      <c r="K176" s="672" t="s">
        <v>350</v>
      </c>
      <c r="L176" s="660"/>
      <c r="M176" s="670"/>
      <c r="N176" s="661" t="s">
        <v>438</v>
      </c>
      <c r="O176" s="691">
        <f>O177</f>
        <v>24000000</v>
      </c>
      <c r="P176" s="719">
        <f t="shared" si="72"/>
        <v>22588000</v>
      </c>
      <c r="Q176" s="719">
        <f t="shared" si="72"/>
        <v>693000</v>
      </c>
      <c r="R176" s="595">
        <f t="shared" si="67"/>
        <v>23281000</v>
      </c>
      <c r="S176" s="719">
        <f>S177</f>
        <v>22588000</v>
      </c>
      <c r="T176" s="719">
        <f>T177</f>
        <v>589500</v>
      </c>
      <c r="U176" s="595">
        <f t="shared" si="68"/>
        <v>23177500</v>
      </c>
      <c r="V176" s="595">
        <f t="shared" si="61"/>
        <v>822500</v>
      </c>
      <c r="W176" s="595"/>
      <c r="X176" s="595"/>
      <c r="Y176" s="597">
        <f t="shared" si="69"/>
        <v>0.96572916666666664</v>
      </c>
    </row>
    <row r="177" spans="1:25" s="588" customFormat="1" ht="51.75" customHeight="1">
      <c r="A177" s="728">
        <v>7</v>
      </c>
      <c r="B177" s="729" t="s">
        <v>348</v>
      </c>
      <c r="C177" s="729" t="s">
        <v>350</v>
      </c>
      <c r="D177" s="640">
        <v>2</v>
      </c>
      <c r="E177" s="639" t="s">
        <v>357</v>
      </c>
      <c r="F177" s="639" t="s">
        <v>348</v>
      </c>
      <c r="G177" s="640">
        <v>5</v>
      </c>
      <c r="H177" s="640">
        <v>1</v>
      </c>
      <c r="I177" s="639" t="s">
        <v>350</v>
      </c>
      <c r="J177" s="654" t="s">
        <v>357</v>
      </c>
      <c r="K177" s="654" t="s">
        <v>350</v>
      </c>
      <c r="L177" s="654" t="s">
        <v>380</v>
      </c>
      <c r="M177" s="670">
        <v>9</v>
      </c>
      <c r="N177" s="663" t="str">
        <f>'[1]SPJ FUNGSIONAL '!N184</f>
        <v>Belanja Pemeliharaan Alat Angkutan-Alat angkutan Darat Bermotor-Kendaraan Bermotor Beroda Tiga</v>
      </c>
      <c r="O177" s="700">
        <f>'[1]SPJ FUNGSIONAL '!O184</f>
        <v>24000000</v>
      </c>
      <c r="P177" s="644">
        <f>'[2]LRA SP2D'!$R$177</f>
        <v>22588000</v>
      </c>
      <c r="Q177" s="644">
        <v>693000</v>
      </c>
      <c r="R177" s="644">
        <f t="shared" si="67"/>
        <v>23281000</v>
      </c>
      <c r="S177" s="644">
        <f>'[1]SPJ FUNGSIONAL '!Y184</f>
        <v>22588000</v>
      </c>
      <c r="T177" s="644">
        <f>'[1]SPJ FUNGSIONAL '!Z184</f>
        <v>589500</v>
      </c>
      <c r="U177" s="644">
        <f t="shared" si="68"/>
        <v>23177500</v>
      </c>
      <c r="V177" s="644">
        <f t="shared" si="61"/>
        <v>822500</v>
      </c>
      <c r="W177" s="644">
        <f>R177-U177</f>
        <v>103500</v>
      </c>
      <c r="X177" s="644"/>
      <c r="Y177" s="646">
        <f t="shared" si="69"/>
        <v>0.96572916666666664</v>
      </c>
    </row>
    <row r="178" spans="1:25" s="598" customFormat="1" ht="51.75" customHeight="1">
      <c r="A178" s="726">
        <v>7</v>
      </c>
      <c r="B178" s="727" t="s">
        <v>348</v>
      </c>
      <c r="C178" s="727" t="s">
        <v>350</v>
      </c>
      <c r="D178" s="624">
        <v>2</v>
      </c>
      <c r="E178" s="637" t="s">
        <v>357</v>
      </c>
      <c r="F178" s="637" t="s">
        <v>348</v>
      </c>
      <c r="G178" s="624">
        <v>5</v>
      </c>
      <c r="H178" s="624">
        <v>1</v>
      </c>
      <c r="I178" s="637" t="s">
        <v>350</v>
      </c>
      <c r="J178" s="672" t="s">
        <v>359</v>
      </c>
      <c r="K178" s="672"/>
      <c r="L178" s="673"/>
      <c r="M178" s="674"/>
      <c r="N178" s="690" t="str">
        <f>'[1]SPJ FUNGSIONAL '!N185</f>
        <v xml:space="preserve">Belanja Uang dan/atau jasa Untuk Diberikan Kepada Pihak Ketiga/Pihak Lain/Masyarakat </v>
      </c>
      <c r="O178" s="691">
        <f>O179</f>
        <v>24000000</v>
      </c>
      <c r="P178" s="595">
        <f>P179</f>
        <v>24000000</v>
      </c>
      <c r="Q178" s="595">
        <f t="shared" ref="Q178:T179" si="73">Q179</f>
        <v>0</v>
      </c>
      <c r="R178" s="595">
        <f t="shared" si="73"/>
        <v>24000000</v>
      </c>
      <c r="S178" s="595">
        <f t="shared" si="73"/>
        <v>24000000</v>
      </c>
      <c r="T178" s="595">
        <f t="shared" si="73"/>
        <v>0</v>
      </c>
      <c r="U178" s="595">
        <f>SUM(S178:T178)</f>
        <v>24000000</v>
      </c>
      <c r="V178" s="595">
        <f t="shared" si="61"/>
        <v>0</v>
      </c>
      <c r="W178" s="595"/>
      <c r="X178" s="595">
        <f t="shared" si="71"/>
        <v>0</v>
      </c>
      <c r="Y178" s="597">
        <f t="shared" si="69"/>
        <v>1</v>
      </c>
    </row>
    <row r="179" spans="1:25" s="598" customFormat="1" ht="51.75" customHeight="1">
      <c r="A179" s="726">
        <v>7</v>
      </c>
      <c r="B179" s="727" t="s">
        <v>348</v>
      </c>
      <c r="C179" s="727" t="s">
        <v>350</v>
      </c>
      <c r="D179" s="624">
        <v>2</v>
      </c>
      <c r="E179" s="637" t="s">
        <v>357</v>
      </c>
      <c r="F179" s="637" t="s">
        <v>348</v>
      </c>
      <c r="G179" s="624">
        <v>5</v>
      </c>
      <c r="H179" s="624">
        <v>1</v>
      </c>
      <c r="I179" s="637" t="s">
        <v>350</v>
      </c>
      <c r="J179" s="672" t="s">
        <v>359</v>
      </c>
      <c r="K179" s="672" t="s">
        <v>348</v>
      </c>
      <c r="L179" s="673"/>
      <c r="M179" s="674"/>
      <c r="N179" s="690" t="str">
        <f>'[1]SPJ FUNGSIONAL '!N186</f>
        <v xml:space="preserve">Belanja Uang yang Diberikan Kepada Pihak Ketiga/Pihak Lain/Masyarakat </v>
      </c>
      <c r="O179" s="691">
        <f>O180</f>
        <v>24000000</v>
      </c>
      <c r="P179" s="595">
        <f>P180</f>
        <v>24000000</v>
      </c>
      <c r="Q179" s="595">
        <f t="shared" si="73"/>
        <v>0</v>
      </c>
      <c r="R179" s="595">
        <f t="shared" si="73"/>
        <v>24000000</v>
      </c>
      <c r="S179" s="595">
        <f t="shared" si="73"/>
        <v>24000000</v>
      </c>
      <c r="T179" s="595">
        <f t="shared" si="73"/>
        <v>0</v>
      </c>
      <c r="U179" s="595">
        <f>SUM(S179:T179)</f>
        <v>24000000</v>
      </c>
      <c r="V179" s="595"/>
      <c r="W179" s="595"/>
      <c r="X179" s="595"/>
      <c r="Y179" s="597">
        <f t="shared" si="69"/>
        <v>1</v>
      </c>
    </row>
    <row r="180" spans="1:25" s="588" customFormat="1" ht="51.75" customHeight="1">
      <c r="A180" s="728">
        <v>7</v>
      </c>
      <c r="B180" s="729" t="s">
        <v>348</v>
      </c>
      <c r="C180" s="729" t="s">
        <v>350</v>
      </c>
      <c r="D180" s="640">
        <v>2</v>
      </c>
      <c r="E180" s="639" t="s">
        <v>357</v>
      </c>
      <c r="F180" s="639" t="s">
        <v>348</v>
      </c>
      <c r="G180" s="640">
        <v>5</v>
      </c>
      <c r="H180" s="640">
        <v>1</v>
      </c>
      <c r="I180" s="639" t="s">
        <v>350</v>
      </c>
      <c r="J180" s="654" t="s">
        <v>359</v>
      </c>
      <c r="K180" s="654" t="s">
        <v>348</v>
      </c>
      <c r="L180" s="654" t="s">
        <v>354</v>
      </c>
      <c r="M180" s="670">
        <v>2</v>
      </c>
      <c r="N180" s="699" t="str">
        <f>'[1]SPJ FUNGSIONAL '!N187</f>
        <v xml:space="preserve">Belanja Penghargaan atas suatu Prestasi (Reward-Petugas Kebersihan Lapngan-Reward Adipura) </v>
      </c>
      <c r="O180" s="700">
        <f>'[1]SPJ FUNGSIONAL '!O187</f>
        <v>24000000</v>
      </c>
      <c r="P180" s="644">
        <f>'[2]LRA SP2D'!$Q$180</f>
        <v>24000000</v>
      </c>
      <c r="Q180" s="644"/>
      <c r="R180" s="644">
        <f>SUM(P180:Q180)</f>
        <v>24000000</v>
      </c>
      <c r="S180" s="644">
        <f>'[1]SPJ FUNGSIONAL '!AA187</f>
        <v>24000000</v>
      </c>
      <c r="T180" s="644">
        <f>'[1]SPJ FUNGSIONAL '!Z187</f>
        <v>0</v>
      </c>
      <c r="U180" s="644">
        <f>SUM(S180:T180)</f>
        <v>24000000</v>
      </c>
      <c r="V180" s="644">
        <f t="shared" si="61"/>
        <v>0</v>
      </c>
      <c r="W180" s="644"/>
      <c r="X180" s="644"/>
      <c r="Y180" s="646">
        <f t="shared" si="69"/>
        <v>1</v>
      </c>
    </row>
    <row r="181" spans="1:25" s="588" customFormat="1" ht="25" customHeight="1">
      <c r="A181" s="703"/>
      <c r="B181" s="704"/>
      <c r="C181" s="704"/>
      <c r="D181" s="704"/>
      <c r="E181" s="704"/>
      <c r="F181" s="704"/>
      <c r="G181" s="704"/>
      <c r="H181" s="704"/>
      <c r="I181" s="704"/>
      <c r="J181" s="704"/>
      <c r="K181" s="704"/>
      <c r="L181" s="704"/>
      <c r="M181" s="698"/>
      <c r="N181" s="705"/>
      <c r="O181" s="700"/>
      <c r="P181" s="644"/>
      <c r="Q181" s="644"/>
      <c r="R181" s="644">
        <f t="shared" si="67"/>
        <v>0</v>
      </c>
      <c r="S181" s="644"/>
      <c r="T181" s="644"/>
      <c r="U181" s="644">
        <f t="shared" si="68"/>
        <v>0</v>
      </c>
      <c r="V181" s="644">
        <f t="shared" si="61"/>
        <v>0</v>
      </c>
      <c r="W181" s="644">
        <f t="shared" si="65"/>
        <v>0</v>
      </c>
      <c r="X181" s="644">
        <f t="shared" si="71"/>
        <v>0</v>
      </c>
      <c r="Y181" s="646"/>
    </row>
    <row r="182" spans="1:25" s="588" customFormat="1" ht="48.75" customHeight="1">
      <c r="A182" s="714">
        <v>7</v>
      </c>
      <c r="B182" s="715" t="s">
        <v>348</v>
      </c>
      <c r="C182" s="715" t="s">
        <v>350</v>
      </c>
      <c r="D182" s="715" t="s">
        <v>397</v>
      </c>
      <c r="E182" s="716"/>
      <c r="F182" s="716"/>
      <c r="G182" s="716"/>
      <c r="H182" s="716"/>
      <c r="I182" s="716"/>
      <c r="J182" s="716"/>
      <c r="K182" s="716"/>
      <c r="L182" s="716"/>
      <c r="M182" s="730"/>
      <c r="N182" s="618" t="s">
        <v>465</v>
      </c>
      <c r="O182" s="731">
        <f>O184</f>
        <v>1863655900</v>
      </c>
      <c r="P182" s="731">
        <f t="shared" ref="P182:U182" si="74">P184</f>
        <v>1439213025</v>
      </c>
      <c r="Q182" s="731">
        <f t="shared" si="74"/>
        <v>170740450</v>
      </c>
      <c r="R182" s="731">
        <f t="shared" si="74"/>
        <v>1609953475</v>
      </c>
      <c r="S182" s="731">
        <f t="shared" si="74"/>
        <v>1459328325</v>
      </c>
      <c r="T182" s="731">
        <f t="shared" si="74"/>
        <v>334812375</v>
      </c>
      <c r="U182" s="731">
        <f t="shared" si="74"/>
        <v>1794140700</v>
      </c>
      <c r="V182" s="620">
        <f t="shared" si="61"/>
        <v>69515200</v>
      </c>
      <c r="W182" s="620"/>
      <c r="X182" s="620">
        <f t="shared" si="71"/>
        <v>-184187225</v>
      </c>
      <c r="Y182" s="621">
        <f t="shared" si="69"/>
        <v>0.9626995519934769</v>
      </c>
    </row>
    <row r="183" spans="1:25" s="588" customFormat="1" ht="25" customHeight="1">
      <c r="A183" s="732"/>
      <c r="B183" s="733"/>
      <c r="C183" s="733"/>
      <c r="D183" s="733"/>
      <c r="E183" s="733"/>
      <c r="F183" s="733"/>
      <c r="G183" s="733"/>
      <c r="H183" s="733"/>
      <c r="I183" s="733"/>
      <c r="J183" s="733"/>
      <c r="K183" s="733"/>
      <c r="L183" s="733"/>
      <c r="M183" s="734"/>
      <c r="N183" s="592"/>
      <c r="O183" s="612"/>
      <c r="P183" s="612"/>
      <c r="Q183" s="612"/>
      <c r="R183" s="612"/>
      <c r="S183" s="612"/>
      <c r="T183" s="612"/>
      <c r="U183" s="612"/>
      <c r="V183" s="595"/>
      <c r="W183" s="595"/>
      <c r="X183" s="595"/>
      <c r="Y183" s="597"/>
    </row>
    <row r="184" spans="1:25" s="588" customFormat="1" ht="78" customHeight="1">
      <c r="A184" s="720">
        <v>7</v>
      </c>
      <c r="B184" s="721" t="s">
        <v>348</v>
      </c>
      <c r="C184" s="721" t="s">
        <v>350</v>
      </c>
      <c r="D184" s="631">
        <v>2</v>
      </c>
      <c r="E184" s="722" t="s">
        <v>382</v>
      </c>
      <c r="F184" s="722" t="s">
        <v>357</v>
      </c>
      <c r="G184" s="724"/>
      <c r="H184" s="724"/>
      <c r="I184" s="724"/>
      <c r="J184" s="724"/>
      <c r="K184" s="724"/>
      <c r="L184" s="724"/>
      <c r="M184" s="725"/>
      <c r="N184" s="665" t="s">
        <v>466</v>
      </c>
      <c r="O184" s="634">
        <f>O185</f>
        <v>1863655900</v>
      </c>
      <c r="P184" s="634">
        <f t="shared" ref="P184:U184" si="75">P185</f>
        <v>1439213025</v>
      </c>
      <c r="Q184" s="634">
        <f t="shared" si="75"/>
        <v>170740450</v>
      </c>
      <c r="R184" s="634">
        <f t="shared" si="75"/>
        <v>1609953475</v>
      </c>
      <c r="S184" s="634">
        <f t="shared" si="75"/>
        <v>1459328325</v>
      </c>
      <c r="T184" s="634">
        <f t="shared" si="75"/>
        <v>334812375</v>
      </c>
      <c r="U184" s="634">
        <f t="shared" si="75"/>
        <v>1794140700</v>
      </c>
      <c r="V184" s="635">
        <f t="shared" si="61"/>
        <v>69515200</v>
      </c>
      <c r="W184" s="635"/>
      <c r="X184" s="635">
        <f t="shared" si="71"/>
        <v>-184187225</v>
      </c>
      <c r="Y184" s="666">
        <f t="shared" si="69"/>
        <v>0.9626995519934769</v>
      </c>
    </row>
    <row r="185" spans="1:25" s="588" customFormat="1" ht="39.75" customHeight="1">
      <c r="A185" s="726">
        <v>7</v>
      </c>
      <c r="B185" s="727" t="s">
        <v>348</v>
      </c>
      <c r="C185" s="727" t="s">
        <v>350</v>
      </c>
      <c r="D185" s="624">
        <v>2</v>
      </c>
      <c r="E185" s="637" t="s">
        <v>382</v>
      </c>
      <c r="F185" s="637" t="s">
        <v>357</v>
      </c>
      <c r="G185" s="624">
        <v>5</v>
      </c>
      <c r="H185" s="624">
        <v>1</v>
      </c>
      <c r="I185" s="637" t="s">
        <v>350</v>
      </c>
      <c r="J185" s="673"/>
      <c r="K185" s="660"/>
      <c r="L185" s="660"/>
      <c r="M185" s="670"/>
      <c r="N185" s="668" t="s">
        <v>377</v>
      </c>
      <c r="O185" s="662">
        <f>O186+O198+O205+O209</f>
        <v>1863655900</v>
      </c>
      <c r="P185" s="662">
        <f t="shared" ref="P185:U185" si="76">P186+P198+P205+P209</f>
        <v>1439213025</v>
      </c>
      <c r="Q185" s="662">
        <f t="shared" si="76"/>
        <v>170740450</v>
      </c>
      <c r="R185" s="662">
        <f t="shared" si="76"/>
        <v>1609953475</v>
      </c>
      <c r="S185" s="662">
        <f t="shared" si="76"/>
        <v>1459328325</v>
      </c>
      <c r="T185" s="662">
        <f t="shared" si="76"/>
        <v>334812375</v>
      </c>
      <c r="U185" s="662">
        <f t="shared" si="76"/>
        <v>1794140700</v>
      </c>
      <c r="V185" s="595">
        <f t="shared" si="61"/>
        <v>69515200</v>
      </c>
      <c r="W185" s="595"/>
      <c r="X185" s="595">
        <f t="shared" si="71"/>
        <v>-184187225</v>
      </c>
      <c r="Y185" s="597">
        <f t="shared" si="69"/>
        <v>0.9626995519934769</v>
      </c>
    </row>
    <row r="186" spans="1:25" s="588" customFormat="1" ht="39.75" customHeight="1">
      <c r="A186" s="726">
        <v>7</v>
      </c>
      <c r="B186" s="727" t="s">
        <v>348</v>
      </c>
      <c r="C186" s="727" t="s">
        <v>350</v>
      </c>
      <c r="D186" s="624">
        <v>2</v>
      </c>
      <c r="E186" s="637" t="s">
        <v>382</v>
      </c>
      <c r="F186" s="637" t="s">
        <v>357</v>
      </c>
      <c r="G186" s="624">
        <v>5</v>
      </c>
      <c r="H186" s="624">
        <v>1</v>
      </c>
      <c r="I186" s="637" t="s">
        <v>350</v>
      </c>
      <c r="J186" s="672" t="s">
        <v>348</v>
      </c>
      <c r="K186" s="660"/>
      <c r="L186" s="660"/>
      <c r="M186" s="670"/>
      <c r="N186" s="668" t="s">
        <v>398</v>
      </c>
      <c r="O186" s="662">
        <f>O187</f>
        <v>306065250</v>
      </c>
      <c r="P186" s="595">
        <f>P187</f>
        <v>209588025</v>
      </c>
      <c r="Q186" s="595">
        <f>Q187</f>
        <v>29190450</v>
      </c>
      <c r="R186" s="595">
        <f t="shared" si="67"/>
        <v>238778475</v>
      </c>
      <c r="S186" s="595">
        <f>S187</f>
        <v>214403325</v>
      </c>
      <c r="T186" s="595">
        <f>T187</f>
        <v>47512375</v>
      </c>
      <c r="U186" s="595">
        <f t="shared" si="68"/>
        <v>261915700</v>
      </c>
      <c r="V186" s="595">
        <f t="shared" si="61"/>
        <v>44149550</v>
      </c>
      <c r="W186" s="595"/>
      <c r="X186" s="595">
        <f t="shared" si="71"/>
        <v>-23137225</v>
      </c>
      <c r="Y186" s="597">
        <f t="shared" si="69"/>
        <v>0.85575118377535508</v>
      </c>
    </row>
    <row r="187" spans="1:25" s="588" customFormat="1" ht="39.75" customHeight="1">
      <c r="A187" s="726">
        <v>7</v>
      </c>
      <c r="B187" s="727" t="s">
        <v>348</v>
      </c>
      <c r="C187" s="727" t="s">
        <v>350</v>
      </c>
      <c r="D187" s="624">
        <v>2</v>
      </c>
      <c r="E187" s="637" t="s">
        <v>382</v>
      </c>
      <c r="F187" s="637" t="s">
        <v>357</v>
      </c>
      <c r="G187" s="624">
        <v>5</v>
      </c>
      <c r="H187" s="624">
        <v>1</v>
      </c>
      <c r="I187" s="637" t="s">
        <v>350</v>
      </c>
      <c r="J187" s="672" t="s">
        <v>348</v>
      </c>
      <c r="K187" s="672" t="s">
        <v>348</v>
      </c>
      <c r="L187" s="660"/>
      <c r="M187" s="670"/>
      <c r="N187" s="668" t="s">
        <v>379</v>
      </c>
      <c r="O187" s="662">
        <f>SUM(O188:O197)</f>
        <v>306065250</v>
      </c>
      <c r="P187" s="595">
        <f>SUM(P188:P196)</f>
        <v>209588025</v>
      </c>
      <c r="Q187" s="595">
        <f>SUM(Q188:Q196)</f>
        <v>29190450</v>
      </c>
      <c r="R187" s="595">
        <f t="shared" si="67"/>
        <v>238778475</v>
      </c>
      <c r="S187" s="595">
        <f>SUM(S188:S196)</f>
        <v>214403325</v>
      </c>
      <c r="T187" s="595">
        <f>SUM(T188:T196)</f>
        <v>47512375</v>
      </c>
      <c r="U187" s="595">
        <f t="shared" si="68"/>
        <v>261915700</v>
      </c>
      <c r="V187" s="595">
        <f t="shared" si="61"/>
        <v>44149550</v>
      </c>
      <c r="W187" s="595"/>
      <c r="X187" s="595">
        <f t="shared" si="71"/>
        <v>-23137225</v>
      </c>
      <c r="Y187" s="597">
        <f t="shared" si="69"/>
        <v>0.85575118377535508</v>
      </c>
    </row>
    <row r="188" spans="1:25" s="588" customFormat="1" ht="39.75" customHeight="1">
      <c r="A188" s="728">
        <v>7</v>
      </c>
      <c r="B188" s="729" t="s">
        <v>348</v>
      </c>
      <c r="C188" s="729" t="s">
        <v>350</v>
      </c>
      <c r="D188" s="640">
        <v>2</v>
      </c>
      <c r="E188" s="639" t="s">
        <v>382</v>
      </c>
      <c r="F188" s="639" t="s">
        <v>357</v>
      </c>
      <c r="G188" s="640">
        <v>5</v>
      </c>
      <c r="H188" s="640">
        <v>1</v>
      </c>
      <c r="I188" s="639" t="s">
        <v>350</v>
      </c>
      <c r="J188" s="654" t="s">
        <v>348</v>
      </c>
      <c r="K188" s="654" t="s">
        <v>348</v>
      </c>
      <c r="L188" s="654" t="s">
        <v>384</v>
      </c>
      <c r="M188" s="670">
        <v>4</v>
      </c>
      <c r="N188" s="642" t="str">
        <f>'[1]SPJ FUNGSIONAL '!N195</f>
        <v>Belanja Alat/Bahan Untuk Kegiatan Kantor-ATK</v>
      </c>
      <c r="O188" s="643">
        <f>'[1]SPJ FUNGSIONAL '!O195</f>
        <v>413600</v>
      </c>
      <c r="P188" s="644">
        <f t="shared" ref="P188:Q188" si="77">S188</f>
        <v>209500</v>
      </c>
      <c r="Q188" s="644">
        <f t="shared" si="77"/>
        <v>0</v>
      </c>
      <c r="R188" s="644">
        <f t="shared" si="67"/>
        <v>209500</v>
      </c>
      <c r="S188" s="644">
        <f>'[1]SPJ FUNGSIONAL '!Y195</f>
        <v>209500</v>
      </c>
      <c r="T188" s="644">
        <f>'[1]SPJ FUNGSIONAL '!Z195</f>
        <v>0</v>
      </c>
      <c r="U188" s="644">
        <f t="shared" si="68"/>
        <v>209500</v>
      </c>
      <c r="V188" s="644">
        <f t="shared" si="61"/>
        <v>204100</v>
      </c>
      <c r="W188" s="644">
        <f t="shared" si="65"/>
        <v>0</v>
      </c>
      <c r="X188" s="644">
        <f t="shared" si="71"/>
        <v>0</v>
      </c>
      <c r="Y188" s="646">
        <f t="shared" si="69"/>
        <v>0.50652804642166349</v>
      </c>
    </row>
    <row r="189" spans="1:25" s="588" customFormat="1" ht="39.75" customHeight="1">
      <c r="A189" s="728">
        <v>7</v>
      </c>
      <c r="B189" s="729" t="s">
        <v>348</v>
      </c>
      <c r="C189" s="729" t="s">
        <v>350</v>
      </c>
      <c r="D189" s="640">
        <v>2</v>
      </c>
      <c r="E189" s="639" t="s">
        <v>382</v>
      </c>
      <c r="F189" s="639" t="s">
        <v>357</v>
      </c>
      <c r="G189" s="640">
        <v>5</v>
      </c>
      <c r="H189" s="640">
        <v>1</v>
      </c>
      <c r="I189" s="639" t="s">
        <v>350</v>
      </c>
      <c r="J189" s="654" t="s">
        <v>348</v>
      </c>
      <c r="K189" s="654" t="s">
        <v>348</v>
      </c>
      <c r="L189" s="654" t="s">
        <v>384</v>
      </c>
      <c r="M189" s="670">
        <v>5</v>
      </c>
      <c r="N189" s="663" t="str">
        <f>'[1]SPJ FUNGSIONAL '!N196</f>
        <v>Belanja Alat/Bahan Untuk Kegiatan Kantor-Kertas dan Cover</v>
      </c>
      <c r="O189" s="643">
        <f>'[1]SPJ FUNGSIONAL '!O196</f>
        <v>2601800</v>
      </c>
      <c r="P189" s="644">
        <f>S189</f>
        <v>1612600</v>
      </c>
      <c r="Q189" s="644">
        <v>705000</v>
      </c>
      <c r="R189" s="644">
        <f t="shared" si="67"/>
        <v>2317600</v>
      </c>
      <c r="S189" s="644">
        <f>'[1]SPJ FUNGSIONAL '!Y196</f>
        <v>1612600</v>
      </c>
      <c r="T189" s="644">
        <f>'[1]SPJ FUNGSIONAL '!Z196</f>
        <v>879000</v>
      </c>
      <c r="U189" s="644">
        <f t="shared" si="68"/>
        <v>2491600</v>
      </c>
      <c r="V189" s="644">
        <f t="shared" si="61"/>
        <v>110200</v>
      </c>
      <c r="W189" s="644"/>
      <c r="X189" s="644">
        <f t="shared" si="71"/>
        <v>-174000</v>
      </c>
      <c r="Y189" s="646">
        <f t="shared" si="69"/>
        <v>0.95764470751018527</v>
      </c>
    </row>
    <row r="190" spans="1:25" s="588" customFormat="1" ht="39.75" customHeight="1">
      <c r="A190" s="728">
        <v>7</v>
      </c>
      <c r="B190" s="729" t="s">
        <v>348</v>
      </c>
      <c r="C190" s="729" t="s">
        <v>350</v>
      </c>
      <c r="D190" s="640">
        <v>2</v>
      </c>
      <c r="E190" s="639" t="s">
        <v>382</v>
      </c>
      <c r="F190" s="639" t="s">
        <v>357</v>
      </c>
      <c r="G190" s="640">
        <v>5</v>
      </c>
      <c r="H190" s="640">
        <v>1</v>
      </c>
      <c r="I190" s="639" t="s">
        <v>350</v>
      </c>
      <c r="J190" s="654" t="s">
        <v>348</v>
      </c>
      <c r="K190" s="654" t="s">
        <v>348</v>
      </c>
      <c r="L190" s="654" t="s">
        <v>384</v>
      </c>
      <c r="M190" s="670">
        <v>6</v>
      </c>
      <c r="N190" s="663" t="str">
        <f>'[1]SPJ FUNGSIONAL '!N197</f>
        <v>Belanja Alat/Bahan Untuk Kegiatan Kantor-Bahan Cetak</v>
      </c>
      <c r="O190" s="643">
        <f>'[1]SPJ FUNGSIONAL '!O197</f>
        <v>13568450</v>
      </c>
      <c r="P190" s="644">
        <f>'[2]LRA SP2D'!$R$190</f>
        <v>8215400</v>
      </c>
      <c r="Q190" s="644">
        <v>1452000</v>
      </c>
      <c r="R190" s="644">
        <f t="shared" si="67"/>
        <v>9667400</v>
      </c>
      <c r="S190" s="644">
        <f>'[1]SPJ FUNGSIONAL '!Y197</f>
        <v>8215400</v>
      </c>
      <c r="T190" s="644">
        <f>'[1]SPJ FUNGSIONAL '!Z197</f>
        <v>1920900</v>
      </c>
      <c r="U190" s="644">
        <f t="shared" si="68"/>
        <v>10136300</v>
      </c>
      <c r="V190" s="644">
        <f t="shared" si="61"/>
        <v>3432150</v>
      </c>
      <c r="W190" s="644"/>
      <c r="X190" s="644">
        <f t="shared" si="71"/>
        <v>-468900</v>
      </c>
      <c r="Y190" s="646">
        <f t="shared" si="69"/>
        <v>0.74704922080267089</v>
      </c>
    </row>
    <row r="191" spans="1:25" s="588" customFormat="1" ht="39.75" customHeight="1">
      <c r="A191" s="728">
        <v>7</v>
      </c>
      <c r="B191" s="729" t="s">
        <v>348</v>
      </c>
      <c r="C191" s="729" t="s">
        <v>350</v>
      </c>
      <c r="D191" s="640">
        <v>2</v>
      </c>
      <c r="E191" s="639" t="s">
        <v>382</v>
      </c>
      <c r="F191" s="639" t="s">
        <v>357</v>
      </c>
      <c r="G191" s="640">
        <v>5</v>
      </c>
      <c r="H191" s="640">
        <v>1</v>
      </c>
      <c r="I191" s="639" t="s">
        <v>350</v>
      </c>
      <c r="J191" s="654" t="s">
        <v>348</v>
      </c>
      <c r="K191" s="654" t="s">
        <v>348</v>
      </c>
      <c r="L191" s="654" t="s">
        <v>384</v>
      </c>
      <c r="M191" s="670">
        <v>9</v>
      </c>
      <c r="N191" s="663" t="str">
        <f>'[1]SPJ FUNGSIONAL '!N198</f>
        <v>Belanja Alat/Bahan Untuk Kegiatan Kantor-Bahan Komputer</v>
      </c>
      <c r="O191" s="643">
        <f>'[1]SPJ FUNGSIONAL '!O198</f>
        <v>384800</v>
      </c>
      <c r="P191" s="644">
        <f t="shared" ref="P191:Q193" si="78">S191</f>
        <v>180000</v>
      </c>
      <c r="Q191" s="644">
        <f t="shared" si="78"/>
        <v>0</v>
      </c>
      <c r="R191" s="644">
        <f t="shared" si="67"/>
        <v>180000</v>
      </c>
      <c r="S191" s="644">
        <f>'[1]SPJ FUNGSIONAL '!Y198</f>
        <v>180000</v>
      </c>
      <c r="T191" s="644">
        <f>'[1]SPJ FUNGSIONAL '!Z198</f>
        <v>0</v>
      </c>
      <c r="U191" s="644">
        <f t="shared" si="68"/>
        <v>180000</v>
      </c>
      <c r="V191" s="644">
        <f t="shared" si="61"/>
        <v>204800</v>
      </c>
      <c r="W191" s="644">
        <f t="shared" si="65"/>
        <v>0</v>
      </c>
      <c r="X191" s="644">
        <f t="shared" si="71"/>
        <v>0</v>
      </c>
      <c r="Y191" s="646">
        <f t="shared" si="69"/>
        <v>0.4677754677754678</v>
      </c>
    </row>
    <row r="192" spans="1:25" s="588" customFormat="1" ht="39.75" customHeight="1">
      <c r="A192" s="728">
        <v>7</v>
      </c>
      <c r="B192" s="729" t="s">
        <v>348</v>
      </c>
      <c r="C192" s="729" t="s">
        <v>350</v>
      </c>
      <c r="D192" s="640">
        <v>2</v>
      </c>
      <c r="E192" s="639" t="s">
        <v>382</v>
      </c>
      <c r="F192" s="639" t="s">
        <v>357</v>
      </c>
      <c r="G192" s="640">
        <v>5</v>
      </c>
      <c r="H192" s="640">
        <v>1</v>
      </c>
      <c r="I192" s="639" t="s">
        <v>350</v>
      </c>
      <c r="J192" s="654" t="s">
        <v>348</v>
      </c>
      <c r="K192" s="654" t="s">
        <v>348</v>
      </c>
      <c r="L192" s="654" t="s">
        <v>380</v>
      </c>
      <c r="M192" s="670">
        <v>0</v>
      </c>
      <c r="N192" s="663" t="str">
        <f>'[1]SPJ FUNGSIONAL '!N199</f>
        <v xml:space="preserve">Belanja Alat/Bahan Untuk Kegiatan Kantor-Suvenir/Cendera Mata </v>
      </c>
      <c r="O192" s="643">
        <f>'[1]SPJ FUNGSIONAL '!O199</f>
        <v>415600</v>
      </c>
      <c r="P192" s="644">
        <f t="shared" si="78"/>
        <v>0</v>
      </c>
      <c r="Q192" s="644">
        <f t="shared" si="78"/>
        <v>0</v>
      </c>
      <c r="R192" s="644">
        <f t="shared" si="67"/>
        <v>0</v>
      </c>
      <c r="S192" s="644">
        <f>'[1]SPJ FUNGSIONAL '!Y199</f>
        <v>0</v>
      </c>
      <c r="T192" s="644">
        <f>'[1]SPJ FUNGSIONAL '!Z199</f>
        <v>0</v>
      </c>
      <c r="U192" s="644">
        <f t="shared" si="68"/>
        <v>0</v>
      </c>
      <c r="V192" s="644">
        <f t="shared" si="61"/>
        <v>415600</v>
      </c>
      <c r="W192" s="644"/>
      <c r="X192" s="644">
        <f t="shared" si="71"/>
        <v>0</v>
      </c>
      <c r="Y192" s="646">
        <f t="shared" si="69"/>
        <v>0</v>
      </c>
    </row>
    <row r="193" spans="1:25" s="588" customFormat="1" ht="39.75" customHeight="1">
      <c r="A193" s="728">
        <v>7</v>
      </c>
      <c r="B193" s="729" t="s">
        <v>348</v>
      </c>
      <c r="C193" s="729" t="s">
        <v>350</v>
      </c>
      <c r="D193" s="640">
        <v>2</v>
      </c>
      <c r="E193" s="639" t="s">
        <v>382</v>
      </c>
      <c r="F193" s="639" t="s">
        <v>357</v>
      </c>
      <c r="G193" s="640">
        <v>5</v>
      </c>
      <c r="H193" s="640">
        <v>1</v>
      </c>
      <c r="I193" s="639" t="s">
        <v>350</v>
      </c>
      <c r="J193" s="654" t="s">
        <v>348</v>
      </c>
      <c r="K193" s="654" t="s">
        <v>348</v>
      </c>
      <c r="L193" s="654" t="s">
        <v>393</v>
      </c>
      <c r="M193" s="670">
        <v>1</v>
      </c>
      <c r="N193" s="663" t="str">
        <f>'[1]SPJ FUNGSIONAL '!N200</f>
        <v xml:space="preserve">Belanja Persediaan Dalam Proses-Persediaan Dalam Proses Lainnya </v>
      </c>
      <c r="O193" s="643">
        <f>'[1]SPJ FUNGSIONAL '!O200</f>
        <v>2400000</v>
      </c>
      <c r="P193" s="644">
        <f t="shared" si="78"/>
        <v>0</v>
      </c>
      <c r="Q193" s="644">
        <f t="shared" si="78"/>
        <v>0</v>
      </c>
      <c r="R193" s="644">
        <f t="shared" si="67"/>
        <v>0</v>
      </c>
      <c r="S193" s="644">
        <f>'[1]SPJ FUNGSIONAL '!Y200</f>
        <v>0</v>
      </c>
      <c r="T193" s="644">
        <f>'[1]SPJ FUNGSIONAL '!Z200</f>
        <v>0</v>
      </c>
      <c r="U193" s="644">
        <f t="shared" si="68"/>
        <v>0</v>
      </c>
      <c r="V193" s="644">
        <f t="shared" si="61"/>
        <v>2400000</v>
      </c>
      <c r="W193" s="644">
        <f t="shared" si="65"/>
        <v>0</v>
      </c>
      <c r="X193" s="644">
        <f t="shared" si="71"/>
        <v>0</v>
      </c>
      <c r="Y193" s="646">
        <f t="shared" si="69"/>
        <v>0</v>
      </c>
    </row>
    <row r="194" spans="1:25" s="588" customFormat="1" ht="39.75" customHeight="1">
      <c r="A194" s="728">
        <v>7</v>
      </c>
      <c r="B194" s="729" t="s">
        <v>348</v>
      </c>
      <c r="C194" s="729" t="s">
        <v>350</v>
      </c>
      <c r="D194" s="640">
        <v>2</v>
      </c>
      <c r="E194" s="639" t="s">
        <v>382</v>
      </c>
      <c r="F194" s="639" t="s">
        <v>357</v>
      </c>
      <c r="G194" s="640">
        <v>5</v>
      </c>
      <c r="H194" s="640">
        <v>1</v>
      </c>
      <c r="I194" s="639" t="s">
        <v>350</v>
      </c>
      <c r="J194" s="654" t="s">
        <v>348</v>
      </c>
      <c r="K194" s="654" t="s">
        <v>348</v>
      </c>
      <c r="L194" s="654" t="s">
        <v>393</v>
      </c>
      <c r="M194" s="670">
        <v>2</v>
      </c>
      <c r="N194" s="642" t="str">
        <f>'[1]SPJ FUNGSIONAL '!N201</f>
        <v xml:space="preserve">Belanja Makanan dan Minuman Rapat </v>
      </c>
      <c r="O194" s="643">
        <f>'[1]SPJ FUNGSIONAL '!O201</f>
        <v>71583000</v>
      </c>
      <c r="P194" s="644">
        <f>'[2]LRA SP2D'!$R$194</f>
        <v>38088000</v>
      </c>
      <c r="Q194" s="644">
        <v>12123675</v>
      </c>
      <c r="R194" s="644">
        <f t="shared" si="67"/>
        <v>50211675</v>
      </c>
      <c r="S194" s="644">
        <f>'[1]SPJ FUNGSIONAL '!Y201</f>
        <v>42903300</v>
      </c>
      <c r="T194" s="644">
        <f>'[1]SPJ FUNGSIONAL '!Z201</f>
        <v>16067125</v>
      </c>
      <c r="U194" s="644">
        <f t="shared" si="68"/>
        <v>58970425</v>
      </c>
      <c r="V194" s="644">
        <f t="shared" si="61"/>
        <v>12612575</v>
      </c>
      <c r="W194" s="644"/>
      <c r="X194" s="644">
        <f t="shared" si="71"/>
        <v>-8758750</v>
      </c>
      <c r="Y194" s="646">
        <f t="shared" si="69"/>
        <v>0.82380488384113548</v>
      </c>
    </row>
    <row r="195" spans="1:25" s="588" customFormat="1" ht="39.75" customHeight="1">
      <c r="A195" s="728">
        <v>7</v>
      </c>
      <c r="B195" s="729" t="s">
        <v>348</v>
      </c>
      <c r="C195" s="729" t="s">
        <v>350</v>
      </c>
      <c r="D195" s="640">
        <v>2</v>
      </c>
      <c r="E195" s="639" t="s">
        <v>382</v>
      </c>
      <c r="F195" s="639" t="s">
        <v>357</v>
      </c>
      <c r="G195" s="640">
        <v>5</v>
      </c>
      <c r="H195" s="640">
        <v>1</v>
      </c>
      <c r="I195" s="639" t="s">
        <v>350</v>
      </c>
      <c r="J195" s="654" t="s">
        <v>348</v>
      </c>
      <c r="K195" s="654" t="s">
        <v>348</v>
      </c>
      <c r="L195" s="654" t="s">
        <v>393</v>
      </c>
      <c r="M195" s="670">
        <v>6</v>
      </c>
      <c r="N195" s="663" t="str">
        <f>'[1]SPJ FUNGSIONAL '!N202</f>
        <v xml:space="preserve">Belanja Makanan dan Minuman pada Fasilitas Pelayanan Urusan Kesehatan </v>
      </c>
      <c r="O195" s="643">
        <f>'[1]SPJ FUNGSIONAL '!O202</f>
        <v>206520000</v>
      </c>
      <c r="P195" s="644">
        <f>'[2]LRA SP2D'!$R$195</f>
        <v>157338775</v>
      </c>
      <c r="Q195" s="644">
        <v>14909775</v>
      </c>
      <c r="R195" s="644">
        <f t="shared" si="67"/>
        <v>172248550</v>
      </c>
      <c r="S195" s="644">
        <f>'[1]SPJ FUNGSIONAL '!Y202</f>
        <v>157338775</v>
      </c>
      <c r="T195" s="644">
        <f>'[1]SPJ FUNGSIONAL '!Z202</f>
        <v>28645350</v>
      </c>
      <c r="U195" s="644">
        <f t="shared" si="68"/>
        <v>185984125</v>
      </c>
      <c r="V195" s="644">
        <f t="shared" si="61"/>
        <v>20535875</v>
      </c>
      <c r="W195" s="644"/>
      <c r="X195" s="644">
        <f t="shared" si="71"/>
        <v>-13735575</v>
      </c>
      <c r="Y195" s="646">
        <f t="shared" si="69"/>
        <v>0.9005622942087933</v>
      </c>
    </row>
    <row r="196" spans="1:25" s="588" customFormat="1" ht="39.75" customHeight="1">
      <c r="A196" s="728">
        <v>7</v>
      </c>
      <c r="B196" s="729" t="s">
        <v>348</v>
      </c>
      <c r="C196" s="729" t="s">
        <v>350</v>
      </c>
      <c r="D196" s="640">
        <v>2</v>
      </c>
      <c r="E196" s="639" t="s">
        <v>382</v>
      </c>
      <c r="F196" s="639" t="s">
        <v>357</v>
      </c>
      <c r="G196" s="640">
        <v>5</v>
      </c>
      <c r="H196" s="640">
        <v>1</v>
      </c>
      <c r="I196" s="639" t="s">
        <v>350</v>
      </c>
      <c r="J196" s="654" t="s">
        <v>348</v>
      </c>
      <c r="K196" s="654" t="s">
        <v>348</v>
      </c>
      <c r="L196" s="654" t="s">
        <v>393</v>
      </c>
      <c r="M196" s="670">
        <v>8</v>
      </c>
      <c r="N196" s="642" t="str">
        <f>'[1]SPJ FUNGSIONAL '!N203</f>
        <v>Belanja Makanan dan Minuman Aktivitas Lapangan</v>
      </c>
      <c r="O196" s="643">
        <f>'[1]SPJ FUNGSIONAL '!O203</f>
        <v>5928000</v>
      </c>
      <c r="P196" s="644">
        <f>'[2]LRA SP2D'!$R$196</f>
        <v>3943750</v>
      </c>
      <c r="Q196" s="644"/>
      <c r="R196" s="644">
        <f t="shared" si="67"/>
        <v>3943750</v>
      </c>
      <c r="S196" s="644">
        <f>'[1]SPJ FUNGSIONAL '!Y203</f>
        <v>3943750</v>
      </c>
      <c r="T196" s="644">
        <f>'[1]SPJ FUNGSIONAL '!Z203</f>
        <v>0</v>
      </c>
      <c r="U196" s="644">
        <f t="shared" si="68"/>
        <v>3943750</v>
      </c>
      <c r="V196" s="644">
        <f t="shared" si="61"/>
        <v>1984250</v>
      </c>
      <c r="W196" s="644"/>
      <c r="X196" s="644">
        <f t="shared" si="71"/>
        <v>0</v>
      </c>
      <c r="Y196" s="646">
        <f t="shared" si="69"/>
        <v>0.66527496626180838</v>
      </c>
    </row>
    <row r="197" spans="1:25" s="588" customFormat="1" ht="39.75" customHeight="1">
      <c r="A197" s="728">
        <v>7</v>
      </c>
      <c r="B197" s="729" t="s">
        <v>348</v>
      </c>
      <c r="C197" s="729" t="s">
        <v>350</v>
      </c>
      <c r="D197" s="640">
        <v>2</v>
      </c>
      <c r="E197" s="639" t="s">
        <v>382</v>
      </c>
      <c r="F197" s="639" t="s">
        <v>357</v>
      </c>
      <c r="G197" s="640">
        <v>5</v>
      </c>
      <c r="H197" s="640">
        <v>1</v>
      </c>
      <c r="I197" s="639" t="s">
        <v>350</v>
      </c>
      <c r="J197" s="654" t="s">
        <v>348</v>
      </c>
      <c r="K197" s="654" t="s">
        <v>348</v>
      </c>
      <c r="L197" s="654" t="s">
        <v>472</v>
      </c>
      <c r="M197" s="670">
        <v>5</v>
      </c>
      <c r="N197" s="642" t="str">
        <f>'[1]SPJ FUNGSIONAL '!N204</f>
        <v xml:space="preserve">Belanja Pakaian Batik Tradisional </v>
      </c>
      <c r="O197" s="643">
        <f>'[1]SPJ FUNGSIONAL '!O204</f>
        <v>2250000</v>
      </c>
      <c r="P197" s="644"/>
      <c r="Q197" s="644">
        <f t="shared" ref="Q197" si="79">T197</f>
        <v>0</v>
      </c>
      <c r="R197" s="644"/>
      <c r="S197" s="644"/>
      <c r="T197" s="644"/>
      <c r="U197" s="644"/>
      <c r="V197" s="644">
        <f t="shared" si="61"/>
        <v>2250000</v>
      </c>
      <c r="W197" s="644"/>
      <c r="X197" s="644">
        <f t="shared" si="71"/>
        <v>0</v>
      </c>
      <c r="Y197" s="646">
        <f t="shared" si="69"/>
        <v>0</v>
      </c>
    </row>
    <row r="198" spans="1:25" s="588" customFormat="1" ht="39.75" customHeight="1">
      <c r="A198" s="726">
        <v>7</v>
      </c>
      <c r="B198" s="727" t="s">
        <v>348</v>
      </c>
      <c r="C198" s="727" t="s">
        <v>350</v>
      </c>
      <c r="D198" s="624">
        <v>2</v>
      </c>
      <c r="E198" s="637" t="s">
        <v>382</v>
      </c>
      <c r="F198" s="637" t="s">
        <v>357</v>
      </c>
      <c r="G198" s="624">
        <v>5</v>
      </c>
      <c r="H198" s="624">
        <v>1</v>
      </c>
      <c r="I198" s="637" t="s">
        <v>350</v>
      </c>
      <c r="J198" s="672" t="s">
        <v>350</v>
      </c>
      <c r="K198" s="660"/>
      <c r="L198" s="660"/>
      <c r="M198" s="670"/>
      <c r="N198" s="668" t="s">
        <v>391</v>
      </c>
      <c r="O198" s="662">
        <f>O199</f>
        <v>1477580000</v>
      </c>
      <c r="P198" s="595">
        <f>P199</f>
        <v>1202500000</v>
      </c>
      <c r="Q198" s="595">
        <f>Q199</f>
        <v>118700000</v>
      </c>
      <c r="R198" s="595">
        <f t="shared" si="67"/>
        <v>1321200000</v>
      </c>
      <c r="S198" s="595">
        <f>S199</f>
        <v>1208450000</v>
      </c>
      <c r="T198" s="595">
        <f>T199</f>
        <v>258750000</v>
      </c>
      <c r="U198" s="595">
        <f t="shared" si="68"/>
        <v>1467200000</v>
      </c>
      <c r="V198" s="595">
        <f t="shared" si="61"/>
        <v>10380000</v>
      </c>
      <c r="W198" s="595"/>
      <c r="X198" s="595">
        <f t="shared" si="71"/>
        <v>-146000000</v>
      </c>
      <c r="Y198" s="597">
        <f t="shared" si="69"/>
        <v>0.99297499966160885</v>
      </c>
    </row>
    <row r="199" spans="1:25" s="588" customFormat="1" ht="39.75" customHeight="1">
      <c r="A199" s="726">
        <v>7</v>
      </c>
      <c r="B199" s="727" t="s">
        <v>348</v>
      </c>
      <c r="C199" s="727" t="s">
        <v>350</v>
      </c>
      <c r="D199" s="624">
        <v>2</v>
      </c>
      <c r="E199" s="637" t="s">
        <v>382</v>
      </c>
      <c r="F199" s="637" t="s">
        <v>357</v>
      </c>
      <c r="G199" s="624">
        <v>5</v>
      </c>
      <c r="H199" s="624">
        <v>1</v>
      </c>
      <c r="I199" s="637" t="s">
        <v>350</v>
      </c>
      <c r="J199" s="672" t="s">
        <v>350</v>
      </c>
      <c r="K199" s="672" t="s">
        <v>348</v>
      </c>
      <c r="L199" s="660"/>
      <c r="M199" s="670"/>
      <c r="N199" s="668" t="s">
        <v>459</v>
      </c>
      <c r="O199" s="662">
        <f>SUM(O200:O204)</f>
        <v>1477580000</v>
      </c>
      <c r="P199" s="595">
        <f>SUM(P200:P204)</f>
        <v>1202500000</v>
      </c>
      <c r="Q199" s="595">
        <f>SUM(Q200:Q204)</f>
        <v>118700000</v>
      </c>
      <c r="R199" s="595">
        <f t="shared" si="67"/>
        <v>1321200000</v>
      </c>
      <c r="S199" s="595">
        <f>SUM(S200:S204)</f>
        <v>1208450000</v>
      </c>
      <c r="T199" s="595">
        <f>SUM(T200:T204)</f>
        <v>258750000</v>
      </c>
      <c r="U199" s="595">
        <f t="shared" si="68"/>
        <v>1467200000</v>
      </c>
      <c r="V199" s="595">
        <f t="shared" si="61"/>
        <v>10380000</v>
      </c>
      <c r="W199" s="595"/>
      <c r="X199" s="595">
        <f t="shared" si="71"/>
        <v>-146000000</v>
      </c>
      <c r="Y199" s="597">
        <f t="shared" si="69"/>
        <v>0.99297499966160885</v>
      </c>
    </row>
    <row r="200" spans="1:25" s="588" customFormat="1" ht="39.75" customHeight="1">
      <c r="A200" s="728">
        <v>7</v>
      </c>
      <c r="B200" s="729" t="s">
        <v>348</v>
      </c>
      <c r="C200" s="729" t="s">
        <v>350</v>
      </c>
      <c r="D200" s="640">
        <v>2</v>
      </c>
      <c r="E200" s="639" t="s">
        <v>382</v>
      </c>
      <c r="F200" s="639" t="s">
        <v>357</v>
      </c>
      <c r="G200" s="640">
        <v>5</v>
      </c>
      <c r="H200" s="640">
        <v>1</v>
      </c>
      <c r="I200" s="639" t="s">
        <v>350</v>
      </c>
      <c r="J200" s="654" t="s">
        <v>350</v>
      </c>
      <c r="K200" s="654" t="s">
        <v>348</v>
      </c>
      <c r="L200" s="654" t="s">
        <v>354</v>
      </c>
      <c r="M200" s="681">
        <v>4</v>
      </c>
      <c r="N200" s="663" t="str">
        <f>'[1]SPJ FUNGSIONAL '!N207</f>
        <v>Honorarium Tim Pelaksana Kegiatan dan Sekretariat Tim Pelaksana Kegiatan</v>
      </c>
      <c r="O200" s="644">
        <f>'[1]SPJ FUNGSIONAL '!O207</f>
        <v>880000</v>
      </c>
      <c r="P200" s="644">
        <v>0</v>
      </c>
      <c r="Q200" s="644">
        <v>0</v>
      </c>
      <c r="R200" s="644">
        <f t="shared" si="67"/>
        <v>0</v>
      </c>
      <c r="S200" s="644">
        <v>0</v>
      </c>
      <c r="T200" s="644">
        <v>0</v>
      </c>
      <c r="U200" s="644">
        <f t="shared" si="68"/>
        <v>0</v>
      </c>
      <c r="V200" s="644">
        <f t="shared" si="61"/>
        <v>880000</v>
      </c>
      <c r="W200" s="644"/>
      <c r="X200" s="644">
        <f t="shared" si="71"/>
        <v>0</v>
      </c>
      <c r="Y200" s="646">
        <f t="shared" si="69"/>
        <v>0</v>
      </c>
    </row>
    <row r="201" spans="1:25" s="588" customFormat="1" ht="39.75" customHeight="1">
      <c r="A201" s="728">
        <v>7</v>
      </c>
      <c r="B201" s="729" t="s">
        <v>348</v>
      </c>
      <c r="C201" s="729" t="s">
        <v>350</v>
      </c>
      <c r="D201" s="640">
        <v>2</v>
      </c>
      <c r="E201" s="639" t="s">
        <v>382</v>
      </c>
      <c r="F201" s="639" t="s">
        <v>357</v>
      </c>
      <c r="G201" s="640">
        <v>5</v>
      </c>
      <c r="H201" s="640">
        <v>1</v>
      </c>
      <c r="I201" s="639" t="s">
        <v>350</v>
      </c>
      <c r="J201" s="654" t="s">
        <v>350</v>
      </c>
      <c r="K201" s="654" t="s">
        <v>348</v>
      </c>
      <c r="L201" s="654" t="s">
        <v>354</v>
      </c>
      <c r="M201" s="681">
        <v>6</v>
      </c>
      <c r="N201" s="663" t="str">
        <f>'[1]SPJ FUNGSIONAL '!N208</f>
        <v xml:space="preserve">Honorarium Penyuluhan atau Pendampingan </v>
      </c>
      <c r="O201" s="644">
        <f>'[1]SPJ FUNGSIONAL '!O208</f>
        <v>38700000</v>
      </c>
      <c r="P201" s="644">
        <f>'[2]LRA SP2D'!$R$201</f>
        <v>18000000</v>
      </c>
      <c r="Q201" s="644">
        <v>2700000</v>
      </c>
      <c r="R201" s="644">
        <f t="shared" si="67"/>
        <v>20700000</v>
      </c>
      <c r="S201" s="644">
        <f>'[1]SPJ FUNGSIONAL '!Y208</f>
        <v>20700000</v>
      </c>
      <c r="T201" s="644">
        <f>'[1]SPJ FUNGSIONAL '!Z208</f>
        <v>18000000</v>
      </c>
      <c r="U201" s="644">
        <f t="shared" si="68"/>
        <v>38700000</v>
      </c>
      <c r="V201" s="644">
        <f t="shared" si="61"/>
        <v>0</v>
      </c>
      <c r="W201" s="644"/>
      <c r="X201" s="644">
        <f t="shared" si="71"/>
        <v>-18000000</v>
      </c>
      <c r="Y201" s="646">
        <f t="shared" si="69"/>
        <v>1</v>
      </c>
    </row>
    <row r="202" spans="1:25" s="588" customFormat="1" ht="39.75" customHeight="1">
      <c r="A202" s="728">
        <v>7</v>
      </c>
      <c r="B202" s="729" t="s">
        <v>348</v>
      </c>
      <c r="C202" s="729" t="s">
        <v>350</v>
      </c>
      <c r="D202" s="640">
        <v>2</v>
      </c>
      <c r="E202" s="639" t="s">
        <v>382</v>
      </c>
      <c r="F202" s="639" t="s">
        <v>357</v>
      </c>
      <c r="G202" s="640">
        <v>5</v>
      </c>
      <c r="H202" s="640">
        <v>1</v>
      </c>
      <c r="I202" s="639" t="s">
        <v>350</v>
      </c>
      <c r="J202" s="654" t="s">
        <v>350</v>
      </c>
      <c r="K202" s="654" t="s">
        <v>348</v>
      </c>
      <c r="L202" s="654" t="s">
        <v>384</v>
      </c>
      <c r="M202" s="681">
        <v>0</v>
      </c>
      <c r="N202" s="663" t="str">
        <f>'[1]SPJ FUNGSIONAL '!N209</f>
        <v xml:space="preserve">Belanja Jasa Tenaga Penanganan Sosial </v>
      </c>
      <c r="O202" s="644">
        <f>'[1]SPJ FUNGSIONAL '!O209</f>
        <v>1420750000</v>
      </c>
      <c r="P202" s="644">
        <f>'[2]LRA SP2D'!$R$202</f>
        <v>1169500000</v>
      </c>
      <c r="Q202" s="644">
        <v>116000000</v>
      </c>
      <c r="R202" s="644">
        <f t="shared" si="67"/>
        <v>1285500000</v>
      </c>
      <c r="S202" s="644">
        <f>'[1]SPJ FUNGSIONAL '!Y209</f>
        <v>1172750000</v>
      </c>
      <c r="T202" s="644">
        <f>'[1]SPJ FUNGSIONAL '!Z209</f>
        <v>240750000</v>
      </c>
      <c r="U202" s="644">
        <f t="shared" si="68"/>
        <v>1413500000</v>
      </c>
      <c r="V202" s="644">
        <f t="shared" si="61"/>
        <v>7250000</v>
      </c>
      <c r="W202" s="644"/>
      <c r="X202" s="644">
        <f t="shared" si="71"/>
        <v>-128000000</v>
      </c>
      <c r="Y202" s="646">
        <f t="shared" si="69"/>
        <v>0.99489706141122647</v>
      </c>
    </row>
    <row r="203" spans="1:25" s="588" customFormat="1" ht="39.75" customHeight="1">
      <c r="A203" s="728">
        <v>7</v>
      </c>
      <c r="B203" s="729" t="s">
        <v>348</v>
      </c>
      <c r="C203" s="729" t="s">
        <v>350</v>
      </c>
      <c r="D203" s="640">
        <v>2</v>
      </c>
      <c r="E203" s="639" t="s">
        <v>382</v>
      </c>
      <c r="F203" s="639" t="s">
        <v>357</v>
      </c>
      <c r="G203" s="640">
        <v>5</v>
      </c>
      <c r="H203" s="640">
        <v>1</v>
      </c>
      <c r="I203" s="639" t="s">
        <v>350</v>
      </c>
      <c r="J203" s="654" t="s">
        <v>350</v>
      </c>
      <c r="K203" s="654" t="s">
        <v>348</v>
      </c>
      <c r="L203" s="654" t="s">
        <v>380</v>
      </c>
      <c r="M203" s="670">
        <v>7</v>
      </c>
      <c r="N203" s="642" t="str">
        <f>'[1]SPJ FUNGSIONAL '!N210</f>
        <v>Belanja Jasa Juri Perlombaan/Pertandingan</v>
      </c>
      <c r="O203" s="644">
        <f>'[1]SPJ FUNGSIONAL '!O210</f>
        <v>17250000</v>
      </c>
      <c r="P203" s="644">
        <f>'[2]LRA SP2D'!$R$203</f>
        <v>15000000</v>
      </c>
      <c r="Q203" s="644"/>
      <c r="R203" s="644">
        <f t="shared" si="67"/>
        <v>15000000</v>
      </c>
      <c r="S203" s="644">
        <f>'[1]SPJ FUNGSIONAL '!Y210</f>
        <v>15000000</v>
      </c>
      <c r="T203" s="644">
        <f>'[1]SPJ FUNGSIONAL '!Z210</f>
        <v>0</v>
      </c>
      <c r="U203" s="644">
        <f t="shared" si="68"/>
        <v>15000000</v>
      </c>
      <c r="V203" s="644">
        <f t="shared" si="61"/>
        <v>2250000</v>
      </c>
      <c r="W203" s="644"/>
      <c r="X203" s="644">
        <f t="shared" si="71"/>
        <v>0</v>
      </c>
      <c r="Y203" s="646">
        <f t="shared" si="69"/>
        <v>0.86956521739130432</v>
      </c>
    </row>
    <row r="204" spans="1:25" s="588" customFormat="1" ht="39.75" customHeight="1">
      <c r="A204" s="728">
        <v>7</v>
      </c>
      <c r="B204" s="729" t="s">
        <v>348</v>
      </c>
      <c r="C204" s="729" t="s">
        <v>350</v>
      </c>
      <c r="D204" s="640">
        <v>2</v>
      </c>
      <c r="E204" s="639" t="s">
        <v>382</v>
      </c>
      <c r="F204" s="639" t="s">
        <v>357</v>
      </c>
      <c r="G204" s="640">
        <v>5</v>
      </c>
      <c r="H204" s="640">
        <v>1</v>
      </c>
      <c r="I204" s="639" t="s">
        <v>350</v>
      </c>
      <c r="J204" s="654" t="s">
        <v>350</v>
      </c>
      <c r="K204" s="654" t="s">
        <v>382</v>
      </c>
      <c r="L204" s="654" t="s">
        <v>380</v>
      </c>
      <c r="M204" s="670">
        <v>6</v>
      </c>
      <c r="N204" s="642" t="str">
        <f>'[1]SPJ FUNGSIONAL '!N211</f>
        <v>Belanja Sewa Kendaraan Bermotor Penumpang</v>
      </c>
      <c r="O204" s="644">
        <f>'[1]SPJ FUNGSIONAL '!O211</f>
        <v>0</v>
      </c>
      <c r="P204" s="644">
        <f t="shared" ref="P204" si="80">S204</f>
        <v>0</v>
      </c>
      <c r="Q204" s="644">
        <f>T204</f>
        <v>0</v>
      </c>
      <c r="R204" s="644">
        <f t="shared" si="67"/>
        <v>0</v>
      </c>
      <c r="S204" s="644"/>
      <c r="T204" s="644">
        <f>'[1]SPJ FUNGSIONAL '!Z211</f>
        <v>0</v>
      </c>
      <c r="U204" s="644">
        <f t="shared" si="68"/>
        <v>0</v>
      </c>
      <c r="V204" s="644">
        <f t="shared" si="61"/>
        <v>0</v>
      </c>
      <c r="W204" s="644"/>
      <c r="X204" s="644">
        <f t="shared" si="71"/>
        <v>0</v>
      </c>
      <c r="Y204" s="646">
        <v>0</v>
      </c>
    </row>
    <row r="205" spans="1:25" s="588" customFormat="1" ht="39.75" customHeight="1">
      <c r="A205" s="726">
        <v>7</v>
      </c>
      <c r="B205" s="727" t="s">
        <v>348</v>
      </c>
      <c r="C205" s="727" t="s">
        <v>350</v>
      </c>
      <c r="D205" s="624">
        <v>2</v>
      </c>
      <c r="E205" s="637" t="s">
        <v>382</v>
      </c>
      <c r="F205" s="637" t="s">
        <v>357</v>
      </c>
      <c r="G205" s="624">
        <v>5</v>
      </c>
      <c r="H205" s="624">
        <v>1</v>
      </c>
      <c r="I205" s="637" t="s">
        <v>350</v>
      </c>
      <c r="J205" s="672" t="s">
        <v>382</v>
      </c>
      <c r="K205" s="673"/>
      <c r="L205" s="660"/>
      <c r="M205" s="670"/>
      <c r="N205" s="668" t="s">
        <v>400</v>
      </c>
      <c r="O205" s="595">
        <f>O206</f>
        <v>73910650</v>
      </c>
      <c r="P205" s="595">
        <f>P206</f>
        <v>22575000</v>
      </c>
      <c r="Q205" s="595">
        <f>Q206</f>
        <v>22850000</v>
      </c>
      <c r="R205" s="595">
        <f t="shared" si="67"/>
        <v>45425000</v>
      </c>
      <c r="S205" s="595">
        <f>'[1]SPJ FUNGSIONAL '!Y212</f>
        <v>31925000</v>
      </c>
      <c r="T205" s="595">
        <f>T206</f>
        <v>28550000</v>
      </c>
      <c r="U205" s="595">
        <f t="shared" si="68"/>
        <v>60475000</v>
      </c>
      <c r="V205" s="595">
        <f t="shared" si="61"/>
        <v>13435650</v>
      </c>
      <c r="W205" s="595"/>
      <c r="X205" s="595">
        <f t="shared" si="71"/>
        <v>-15050000</v>
      </c>
      <c r="Y205" s="597">
        <f t="shared" si="69"/>
        <v>0.81821767228403486</v>
      </c>
    </row>
    <row r="206" spans="1:25" s="588" customFormat="1" ht="39.75" customHeight="1">
      <c r="A206" s="726">
        <v>7</v>
      </c>
      <c r="B206" s="727" t="s">
        <v>348</v>
      </c>
      <c r="C206" s="727" t="s">
        <v>350</v>
      </c>
      <c r="D206" s="624">
        <v>2</v>
      </c>
      <c r="E206" s="637" t="s">
        <v>382</v>
      </c>
      <c r="F206" s="637" t="s">
        <v>357</v>
      </c>
      <c r="G206" s="624">
        <v>5</v>
      </c>
      <c r="H206" s="624">
        <v>1</v>
      </c>
      <c r="I206" s="637" t="s">
        <v>350</v>
      </c>
      <c r="J206" s="672" t="s">
        <v>382</v>
      </c>
      <c r="K206" s="672" t="s">
        <v>348</v>
      </c>
      <c r="L206" s="673"/>
      <c r="M206" s="670"/>
      <c r="N206" s="668" t="s">
        <v>401</v>
      </c>
      <c r="O206" s="595">
        <f>O207+O208</f>
        <v>73910650</v>
      </c>
      <c r="P206" s="595">
        <f>P207+P208</f>
        <v>22575000</v>
      </c>
      <c r="Q206" s="595">
        <f>Q207+Q208</f>
        <v>22850000</v>
      </c>
      <c r="R206" s="595">
        <f t="shared" si="67"/>
        <v>45425000</v>
      </c>
      <c r="S206" s="595">
        <f>'[1]SPJ FUNGSIONAL '!Y213</f>
        <v>31925000</v>
      </c>
      <c r="T206" s="595">
        <f>T207+T208</f>
        <v>28550000</v>
      </c>
      <c r="U206" s="595">
        <f t="shared" si="68"/>
        <v>60475000</v>
      </c>
      <c r="V206" s="595">
        <f t="shared" si="61"/>
        <v>13435650</v>
      </c>
      <c r="W206" s="595"/>
      <c r="X206" s="595">
        <f t="shared" si="71"/>
        <v>-15050000</v>
      </c>
      <c r="Y206" s="646">
        <f t="shared" si="69"/>
        <v>0.81821767228403486</v>
      </c>
    </row>
    <row r="207" spans="1:25" s="588" customFormat="1" ht="39.75" customHeight="1">
      <c r="A207" s="728">
        <v>7</v>
      </c>
      <c r="B207" s="729" t="s">
        <v>348</v>
      </c>
      <c r="C207" s="729" t="s">
        <v>350</v>
      </c>
      <c r="D207" s="640">
        <v>2</v>
      </c>
      <c r="E207" s="639" t="s">
        <v>382</v>
      </c>
      <c r="F207" s="639" t="s">
        <v>357</v>
      </c>
      <c r="G207" s="640">
        <v>5</v>
      </c>
      <c r="H207" s="640">
        <v>1</v>
      </c>
      <c r="I207" s="639" t="s">
        <v>350</v>
      </c>
      <c r="J207" s="654" t="s">
        <v>382</v>
      </c>
      <c r="K207" s="654" t="s">
        <v>348</v>
      </c>
      <c r="L207" s="654" t="s">
        <v>354</v>
      </c>
      <c r="M207" s="681" t="s">
        <v>336</v>
      </c>
      <c r="N207" s="642" t="s">
        <v>402</v>
      </c>
      <c r="O207" s="644">
        <f>'[1]SPJ FUNGSIONAL '!O214</f>
        <v>4810650</v>
      </c>
      <c r="P207" s="644">
        <f>'[2]LRA SP2D'!$R$207</f>
        <v>3375000</v>
      </c>
      <c r="Q207" s="644"/>
      <c r="R207" s="644">
        <f t="shared" si="67"/>
        <v>3375000</v>
      </c>
      <c r="S207" s="644">
        <f>'[1]SPJ FUNGSIONAL '!Y214</f>
        <v>3375000</v>
      </c>
      <c r="T207" s="644">
        <f>'[1]SPJ FUNGSIONAL '!Z214</f>
        <v>0</v>
      </c>
      <c r="U207" s="644">
        <f t="shared" si="68"/>
        <v>3375000</v>
      </c>
      <c r="V207" s="644">
        <f t="shared" ref="V207:V267" si="81">O207-U207</f>
        <v>1435650</v>
      </c>
      <c r="W207" s="644"/>
      <c r="X207" s="644">
        <f t="shared" si="71"/>
        <v>0</v>
      </c>
      <c r="Y207" s="646">
        <f t="shared" si="69"/>
        <v>0.70156839512332014</v>
      </c>
    </row>
    <row r="208" spans="1:25" s="588" customFormat="1" ht="39.75" customHeight="1">
      <c r="A208" s="728">
        <v>7</v>
      </c>
      <c r="B208" s="729" t="s">
        <v>348</v>
      </c>
      <c r="C208" s="729" t="s">
        <v>350</v>
      </c>
      <c r="D208" s="640">
        <v>2</v>
      </c>
      <c r="E208" s="639" t="s">
        <v>382</v>
      </c>
      <c r="F208" s="639" t="s">
        <v>357</v>
      </c>
      <c r="G208" s="640">
        <v>5</v>
      </c>
      <c r="H208" s="640">
        <v>1</v>
      </c>
      <c r="I208" s="639" t="s">
        <v>350</v>
      </c>
      <c r="J208" s="654" t="s">
        <v>382</v>
      </c>
      <c r="K208" s="654" t="s">
        <v>348</v>
      </c>
      <c r="L208" s="654" t="s">
        <v>354</v>
      </c>
      <c r="M208" s="670">
        <v>3</v>
      </c>
      <c r="N208" s="642" t="s">
        <v>483</v>
      </c>
      <c r="O208" s="644">
        <f>'[1]SPJ FUNGSIONAL '!O215</f>
        <v>69100000</v>
      </c>
      <c r="P208" s="644">
        <f>'[2]LRA SP2D'!$R$208</f>
        <v>19200000</v>
      </c>
      <c r="Q208" s="644">
        <v>22850000</v>
      </c>
      <c r="R208" s="644">
        <f t="shared" si="67"/>
        <v>42050000</v>
      </c>
      <c r="S208" s="644">
        <f>'[1]SPJ FUNGSIONAL '!Y215</f>
        <v>28550000</v>
      </c>
      <c r="T208" s="644">
        <f>'[1]SPJ FUNGSIONAL '!Z215</f>
        <v>28550000</v>
      </c>
      <c r="U208" s="644">
        <f t="shared" si="68"/>
        <v>57100000</v>
      </c>
      <c r="V208" s="644">
        <f t="shared" si="81"/>
        <v>12000000</v>
      </c>
      <c r="W208" s="644"/>
      <c r="X208" s="644">
        <f t="shared" si="71"/>
        <v>-15050000</v>
      </c>
      <c r="Y208" s="646">
        <f t="shared" si="69"/>
        <v>0.82633863965267729</v>
      </c>
    </row>
    <row r="209" spans="1:25" s="588" customFormat="1" ht="48" customHeight="1">
      <c r="A209" s="726">
        <v>7</v>
      </c>
      <c r="B209" s="727" t="s">
        <v>348</v>
      </c>
      <c r="C209" s="727" t="s">
        <v>350</v>
      </c>
      <c r="D209" s="624">
        <v>2</v>
      </c>
      <c r="E209" s="637" t="s">
        <v>382</v>
      </c>
      <c r="F209" s="637" t="s">
        <v>357</v>
      </c>
      <c r="G209" s="624">
        <v>5</v>
      </c>
      <c r="H209" s="624">
        <v>1</v>
      </c>
      <c r="I209" s="637" t="s">
        <v>350</v>
      </c>
      <c r="J209" s="672" t="s">
        <v>359</v>
      </c>
      <c r="K209" s="673"/>
      <c r="L209" s="660"/>
      <c r="M209" s="670"/>
      <c r="N209" s="661" t="s">
        <v>484</v>
      </c>
      <c r="O209" s="595">
        <f t="shared" ref="O209:Q210" si="82">O210</f>
        <v>6100000</v>
      </c>
      <c r="P209" s="595">
        <f t="shared" si="82"/>
        <v>4550000</v>
      </c>
      <c r="Q209" s="595">
        <f t="shared" si="82"/>
        <v>0</v>
      </c>
      <c r="R209" s="595">
        <f t="shared" si="67"/>
        <v>4550000</v>
      </c>
      <c r="S209" s="595">
        <f>S210</f>
        <v>4550000</v>
      </c>
      <c r="T209" s="595">
        <f>T210</f>
        <v>0</v>
      </c>
      <c r="U209" s="595">
        <f t="shared" si="68"/>
        <v>4550000</v>
      </c>
      <c r="V209" s="595">
        <f t="shared" si="81"/>
        <v>1550000</v>
      </c>
      <c r="W209" s="595"/>
      <c r="X209" s="595">
        <f t="shared" si="71"/>
        <v>0</v>
      </c>
      <c r="Y209" s="597">
        <f t="shared" si="69"/>
        <v>0.74590163934426235</v>
      </c>
    </row>
    <row r="210" spans="1:25" s="588" customFormat="1" ht="43.5" customHeight="1">
      <c r="A210" s="726">
        <v>7</v>
      </c>
      <c r="B210" s="727" t="s">
        <v>348</v>
      </c>
      <c r="C210" s="727" t="s">
        <v>350</v>
      </c>
      <c r="D210" s="624">
        <v>2</v>
      </c>
      <c r="E210" s="637" t="s">
        <v>382</v>
      </c>
      <c r="F210" s="637" t="s">
        <v>357</v>
      </c>
      <c r="G210" s="624">
        <v>5</v>
      </c>
      <c r="H210" s="624">
        <v>1</v>
      </c>
      <c r="I210" s="637" t="s">
        <v>350</v>
      </c>
      <c r="J210" s="672" t="s">
        <v>359</v>
      </c>
      <c r="K210" s="672" t="s">
        <v>348</v>
      </c>
      <c r="L210" s="660"/>
      <c r="M210" s="670"/>
      <c r="N210" s="661" t="s">
        <v>485</v>
      </c>
      <c r="O210" s="595">
        <f t="shared" si="82"/>
        <v>6100000</v>
      </c>
      <c r="P210" s="595">
        <f t="shared" si="82"/>
        <v>4550000</v>
      </c>
      <c r="Q210" s="595">
        <f t="shared" si="82"/>
        <v>0</v>
      </c>
      <c r="R210" s="595">
        <f t="shared" si="67"/>
        <v>4550000</v>
      </c>
      <c r="S210" s="595">
        <f>S211</f>
        <v>4550000</v>
      </c>
      <c r="T210" s="595">
        <f>T211</f>
        <v>0</v>
      </c>
      <c r="U210" s="595">
        <f t="shared" si="68"/>
        <v>4550000</v>
      </c>
      <c r="V210" s="595">
        <f t="shared" si="81"/>
        <v>1550000</v>
      </c>
      <c r="W210" s="595"/>
      <c r="X210" s="595">
        <f t="shared" si="71"/>
        <v>0</v>
      </c>
      <c r="Y210" s="597">
        <f t="shared" si="69"/>
        <v>0.74590163934426235</v>
      </c>
    </row>
    <row r="211" spans="1:25" s="588" customFormat="1" ht="39.75" customHeight="1">
      <c r="A211" s="728">
        <v>7</v>
      </c>
      <c r="B211" s="729" t="s">
        <v>348</v>
      </c>
      <c r="C211" s="729" t="s">
        <v>350</v>
      </c>
      <c r="D211" s="640">
        <v>2</v>
      </c>
      <c r="E211" s="639" t="s">
        <v>382</v>
      </c>
      <c r="F211" s="639" t="s">
        <v>357</v>
      </c>
      <c r="G211" s="640">
        <v>5</v>
      </c>
      <c r="H211" s="640">
        <v>1</v>
      </c>
      <c r="I211" s="639" t="s">
        <v>350</v>
      </c>
      <c r="J211" s="654" t="s">
        <v>359</v>
      </c>
      <c r="K211" s="654" t="s">
        <v>348</v>
      </c>
      <c r="L211" s="654" t="s">
        <v>354</v>
      </c>
      <c r="M211" s="681" t="s">
        <v>336</v>
      </c>
      <c r="N211" s="642" t="s">
        <v>486</v>
      </c>
      <c r="O211" s="644">
        <f>'[1]SPJ FUNGSIONAL '!O218</f>
        <v>6100000</v>
      </c>
      <c r="P211" s="644">
        <f>'[2]LRA SP2D'!$R$211</f>
        <v>4550000</v>
      </c>
      <c r="Q211" s="644"/>
      <c r="R211" s="644">
        <f t="shared" si="67"/>
        <v>4550000</v>
      </c>
      <c r="S211" s="644">
        <f>'[1]SPJ FUNGSIONAL '!Y218</f>
        <v>4550000</v>
      </c>
      <c r="T211" s="644">
        <f>'[1]SPJ FUNGSIONAL '!Z218</f>
        <v>0</v>
      </c>
      <c r="U211" s="644">
        <f t="shared" si="68"/>
        <v>4550000</v>
      </c>
      <c r="V211" s="644">
        <f t="shared" si="81"/>
        <v>1550000</v>
      </c>
      <c r="W211" s="644"/>
      <c r="X211" s="644">
        <f t="shared" si="71"/>
        <v>0</v>
      </c>
      <c r="Y211" s="646">
        <f t="shared" si="69"/>
        <v>0.74590163934426235</v>
      </c>
    </row>
    <row r="212" spans="1:25" s="588" customFormat="1" ht="25" customHeight="1">
      <c r="A212" s="728"/>
      <c r="B212" s="735"/>
      <c r="C212" s="735"/>
      <c r="D212" s="640"/>
      <c r="E212" s="640"/>
      <c r="F212" s="640"/>
      <c r="G212" s="640"/>
      <c r="H212" s="640"/>
      <c r="I212" s="640"/>
      <c r="J212" s="660"/>
      <c r="K212" s="660"/>
      <c r="L212" s="660"/>
      <c r="M212" s="670"/>
      <c r="N212" s="642"/>
      <c r="O212" s="644"/>
      <c r="P212" s="644"/>
      <c r="Q212" s="644"/>
      <c r="R212" s="644">
        <f t="shared" si="67"/>
        <v>0</v>
      </c>
      <c r="S212" s="644"/>
      <c r="T212" s="644"/>
      <c r="U212" s="644">
        <f t="shared" si="68"/>
        <v>0</v>
      </c>
      <c r="V212" s="644">
        <f t="shared" si="81"/>
        <v>0</v>
      </c>
      <c r="W212" s="644">
        <f t="shared" ref="W212:W244" si="83">R212-U212</f>
        <v>0</v>
      </c>
      <c r="X212" s="644">
        <f t="shared" si="71"/>
        <v>0</v>
      </c>
      <c r="Y212" s="646"/>
    </row>
    <row r="213" spans="1:25" s="588" customFormat="1" ht="42" customHeight="1">
      <c r="A213" s="706">
        <v>7</v>
      </c>
      <c r="B213" s="707" t="s">
        <v>348</v>
      </c>
      <c r="C213" s="707" t="s">
        <v>357</v>
      </c>
      <c r="D213" s="708"/>
      <c r="E213" s="708"/>
      <c r="F213" s="708"/>
      <c r="G213" s="708"/>
      <c r="H213" s="708"/>
      <c r="I213" s="708"/>
      <c r="J213" s="708"/>
      <c r="K213" s="708"/>
      <c r="L213" s="708"/>
      <c r="M213" s="709"/>
      <c r="N213" s="710" t="s">
        <v>180</v>
      </c>
      <c r="O213" s="711">
        <f t="shared" ref="O213:V213" si="84">O215+O267</f>
        <v>2888858876</v>
      </c>
      <c r="P213" s="711">
        <f t="shared" si="84"/>
        <v>2396362500</v>
      </c>
      <c r="Q213" s="711">
        <f t="shared" si="84"/>
        <v>217972100</v>
      </c>
      <c r="R213" s="711">
        <f t="shared" si="84"/>
        <v>2614334600</v>
      </c>
      <c r="S213" s="711">
        <f t="shared" si="84"/>
        <v>2416231500</v>
      </c>
      <c r="T213" s="711">
        <f t="shared" si="84"/>
        <v>406339150</v>
      </c>
      <c r="U213" s="711">
        <f t="shared" si="84"/>
        <v>2822570650</v>
      </c>
      <c r="V213" s="711">
        <f t="shared" si="84"/>
        <v>66288226</v>
      </c>
      <c r="W213" s="712">
        <f>W215</f>
        <v>52500</v>
      </c>
      <c r="X213" s="712">
        <f t="shared" si="71"/>
        <v>-208236050</v>
      </c>
      <c r="Y213" s="713">
        <f t="shared" si="69"/>
        <v>0.97705383722593442</v>
      </c>
    </row>
    <row r="214" spans="1:25" s="588" customFormat="1" ht="25" customHeight="1">
      <c r="A214" s="732"/>
      <c r="B214" s="733"/>
      <c r="C214" s="733"/>
      <c r="D214" s="733"/>
      <c r="E214" s="733"/>
      <c r="F214" s="733"/>
      <c r="G214" s="733"/>
      <c r="H214" s="733"/>
      <c r="I214" s="733"/>
      <c r="J214" s="733"/>
      <c r="K214" s="733"/>
      <c r="L214" s="733"/>
      <c r="M214" s="734"/>
      <c r="N214" s="592"/>
      <c r="O214" s="612"/>
      <c r="P214" s="644"/>
      <c r="Q214" s="644"/>
      <c r="R214" s="644">
        <f t="shared" si="67"/>
        <v>0</v>
      </c>
      <c r="S214" s="644"/>
      <c r="T214" s="644"/>
      <c r="U214" s="644">
        <f t="shared" si="68"/>
        <v>0</v>
      </c>
      <c r="V214" s="644">
        <f t="shared" si="81"/>
        <v>0</v>
      </c>
      <c r="W214" s="644">
        <f t="shared" si="83"/>
        <v>0</v>
      </c>
      <c r="X214" s="644">
        <f t="shared" si="71"/>
        <v>0</v>
      </c>
      <c r="Y214" s="646"/>
    </row>
    <row r="215" spans="1:25" s="588" customFormat="1" ht="25" customHeight="1">
      <c r="A215" s="714">
        <v>7</v>
      </c>
      <c r="B215" s="715" t="s">
        <v>348</v>
      </c>
      <c r="C215" s="715" t="s">
        <v>357</v>
      </c>
      <c r="D215" s="715" t="s">
        <v>397</v>
      </c>
      <c r="E215" s="715" t="s">
        <v>350</v>
      </c>
      <c r="F215" s="716"/>
      <c r="G215" s="716"/>
      <c r="H215" s="716"/>
      <c r="I215" s="716"/>
      <c r="J215" s="716"/>
      <c r="K215" s="716"/>
      <c r="L215" s="716"/>
      <c r="M215" s="730"/>
      <c r="N215" s="618" t="s">
        <v>487</v>
      </c>
      <c r="O215" s="731">
        <f>O217+O233</f>
        <v>617324876</v>
      </c>
      <c r="P215" s="736">
        <f>P217+P233</f>
        <v>494805400</v>
      </c>
      <c r="Q215" s="736">
        <f>Q217+Q233</f>
        <v>34048200</v>
      </c>
      <c r="R215" s="620">
        <f t="shared" si="67"/>
        <v>528853600</v>
      </c>
      <c r="S215" s="736">
        <f>S217+S233</f>
        <v>514674400</v>
      </c>
      <c r="T215" s="736">
        <f>T217+T233</f>
        <v>41424850</v>
      </c>
      <c r="U215" s="620">
        <f t="shared" si="68"/>
        <v>556099250</v>
      </c>
      <c r="V215" s="620">
        <f t="shared" si="81"/>
        <v>61225626</v>
      </c>
      <c r="W215" s="620">
        <f>W217+W233</f>
        <v>52500</v>
      </c>
      <c r="X215" s="620">
        <f t="shared" si="71"/>
        <v>-27245650</v>
      </c>
      <c r="Y215" s="621">
        <f t="shared" si="69"/>
        <v>0.90082106135635465</v>
      </c>
    </row>
    <row r="216" spans="1:25" s="588" customFormat="1" ht="25" customHeight="1">
      <c r="A216" s="732"/>
      <c r="B216" s="733"/>
      <c r="C216" s="733"/>
      <c r="D216" s="733"/>
      <c r="E216" s="733"/>
      <c r="F216" s="733"/>
      <c r="G216" s="733"/>
      <c r="H216" s="733"/>
      <c r="I216" s="733"/>
      <c r="J216" s="733"/>
      <c r="K216" s="733"/>
      <c r="L216" s="733"/>
      <c r="M216" s="734"/>
      <c r="N216" s="592"/>
      <c r="O216" s="612"/>
      <c r="P216" s="613"/>
      <c r="Q216" s="613"/>
      <c r="R216" s="595"/>
      <c r="S216" s="613"/>
      <c r="T216" s="613"/>
      <c r="U216" s="595"/>
      <c r="V216" s="595"/>
      <c r="W216" s="595"/>
      <c r="X216" s="595"/>
      <c r="Y216" s="597"/>
    </row>
    <row r="217" spans="1:25" s="588" customFormat="1" ht="79.5" customHeight="1">
      <c r="A217" s="720">
        <v>7</v>
      </c>
      <c r="B217" s="721" t="s">
        <v>348</v>
      </c>
      <c r="C217" s="721" t="s">
        <v>357</v>
      </c>
      <c r="D217" s="631">
        <v>2</v>
      </c>
      <c r="E217" s="722" t="s">
        <v>350</v>
      </c>
      <c r="F217" s="722" t="s">
        <v>348</v>
      </c>
      <c r="G217" s="724"/>
      <c r="H217" s="724"/>
      <c r="I217" s="724"/>
      <c r="J217" s="724"/>
      <c r="K217" s="724"/>
      <c r="L217" s="724"/>
      <c r="M217" s="725"/>
      <c r="N217" s="665" t="s">
        <v>488</v>
      </c>
      <c r="O217" s="634">
        <f>O218</f>
        <v>95353850</v>
      </c>
      <c r="P217" s="635">
        <f>P218</f>
        <v>93408650</v>
      </c>
      <c r="Q217" s="635">
        <f>Q218</f>
        <v>0</v>
      </c>
      <c r="R217" s="635">
        <f t="shared" si="67"/>
        <v>93408650</v>
      </c>
      <c r="S217" s="635">
        <f>S218</f>
        <v>93356150</v>
      </c>
      <c r="T217" s="635">
        <f>T218</f>
        <v>0</v>
      </c>
      <c r="U217" s="635">
        <f t="shared" si="68"/>
        <v>93356150</v>
      </c>
      <c r="V217" s="635">
        <f t="shared" si="81"/>
        <v>1997700</v>
      </c>
      <c r="W217" s="635">
        <f>R217-U217</f>
        <v>52500</v>
      </c>
      <c r="X217" s="635">
        <f t="shared" si="71"/>
        <v>52500</v>
      </c>
      <c r="Y217" s="666">
        <f t="shared" si="69"/>
        <v>0.97904961362336185</v>
      </c>
    </row>
    <row r="218" spans="1:25" s="588" customFormat="1" ht="39.75" customHeight="1">
      <c r="A218" s="726">
        <v>7</v>
      </c>
      <c r="B218" s="727" t="s">
        <v>348</v>
      </c>
      <c r="C218" s="727" t="s">
        <v>357</v>
      </c>
      <c r="D218" s="624">
        <v>2</v>
      </c>
      <c r="E218" s="692" t="s">
        <v>350</v>
      </c>
      <c r="F218" s="692" t="s">
        <v>348</v>
      </c>
      <c r="G218" s="737">
        <v>5</v>
      </c>
      <c r="H218" s="737">
        <v>1</v>
      </c>
      <c r="I218" s="692" t="s">
        <v>350</v>
      </c>
      <c r="J218" s="738"/>
      <c r="K218" s="738"/>
      <c r="L218" s="738"/>
      <c r="M218" s="739"/>
      <c r="N218" s="668" t="s">
        <v>489</v>
      </c>
      <c r="O218" s="595">
        <f>O219+O225</f>
        <v>95353850</v>
      </c>
      <c r="P218" s="595">
        <f>P219+P225</f>
        <v>93408650</v>
      </c>
      <c r="Q218" s="595">
        <f>Q219+Q225</f>
        <v>0</v>
      </c>
      <c r="R218" s="595">
        <f t="shared" si="67"/>
        <v>93408650</v>
      </c>
      <c r="S218" s="595">
        <f>S219+S225</f>
        <v>93356150</v>
      </c>
      <c r="T218" s="595">
        <f>T219+T225</f>
        <v>0</v>
      </c>
      <c r="U218" s="595">
        <f t="shared" si="68"/>
        <v>93356150</v>
      </c>
      <c r="V218" s="595">
        <f t="shared" si="81"/>
        <v>1997700</v>
      </c>
      <c r="W218" s="595"/>
      <c r="X218" s="595">
        <f t="shared" si="71"/>
        <v>52500</v>
      </c>
      <c r="Y218" s="597">
        <f t="shared" si="69"/>
        <v>0.97904961362336185</v>
      </c>
    </row>
    <row r="219" spans="1:25" s="588" customFormat="1" ht="39.75" customHeight="1">
      <c r="A219" s="726">
        <v>7</v>
      </c>
      <c r="B219" s="727" t="s">
        <v>348</v>
      </c>
      <c r="C219" s="727" t="s">
        <v>357</v>
      </c>
      <c r="D219" s="624">
        <v>2</v>
      </c>
      <c r="E219" s="692" t="s">
        <v>350</v>
      </c>
      <c r="F219" s="692" t="s">
        <v>348</v>
      </c>
      <c r="G219" s="737">
        <v>5</v>
      </c>
      <c r="H219" s="737">
        <v>1</v>
      </c>
      <c r="I219" s="692" t="s">
        <v>350</v>
      </c>
      <c r="J219" s="672" t="s">
        <v>348</v>
      </c>
      <c r="K219" s="660"/>
      <c r="L219" s="660"/>
      <c r="M219" s="670"/>
      <c r="N219" s="668" t="s">
        <v>378</v>
      </c>
      <c r="O219" s="595">
        <f>O220</f>
        <v>43123850</v>
      </c>
      <c r="P219" s="595">
        <f>P220</f>
        <v>41178650</v>
      </c>
      <c r="Q219" s="595">
        <f>Q220</f>
        <v>0</v>
      </c>
      <c r="R219" s="595">
        <f t="shared" si="67"/>
        <v>41178650</v>
      </c>
      <c r="S219" s="595">
        <f>S220</f>
        <v>41126150</v>
      </c>
      <c r="T219" s="595">
        <f>T220</f>
        <v>0</v>
      </c>
      <c r="U219" s="595">
        <f t="shared" si="68"/>
        <v>41126150</v>
      </c>
      <c r="V219" s="595">
        <f t="shared" si="81"/>
        <v>1997700</v>
      </c>
      <c r="W219" s="595"/>
      <c r="X219" s="595">
        <f t="shared" si="71"/>
        <v>52500</v>
      </c>
      <c r="Y219" s="597">
        <f t="shared" si="69"/>
        <v>0.9536752864134348</v>
      </c>
    </row>
    <row r="220" spans="1:25" s="588" customFormat="1" ht="39.75" customHeight="1">
      <c r="A220" s="726">
        <v>7</v>
      </c>
      <c r="B220" s="727" t="s">
        <v>348</v>
      </c>
      <c r="C220" s="727" t="s">
        <v>357</v>
      </c>
      <c r="D220" s="624">
        <v>2</v>
      </c>
      <c r="E220" s="692" t="s">
        <v>350</v>
      </c>
      <c r="F220" s="692" t="s">
        <v>348</v>
      </c>
      <c r="G220" s="737">
        <v>5</v>
      </c>
      <c r="H220" s="737">
        <v>1</v>
      </c>
      <c r="I220" s="692" t="s">
        <v>350</v>
      </c>
      <c r="J220" s="672" t="s">
        <v>348</v>
      </c>
      <c r="K220" s="672" t="s">
        <v>348</v>
      </c>
      <c r="L220" s="673"/>
      <c r="M220" s="674"/>
      <c r="N220" s="668" t="s">
        <v>379</v>
      </c>
      <c r="O220" s="595">
        <f>SUM(O221:O224)</f>
        <v>43123850</v>
      </c>
      <c r="P220" s="595">
        <f>SUM(P221:P224)</f>
        <v>41178650</v>
      </c>
      <c r="Q220" s="595">
        <f>SUM(Q221:Q224)</f>
        <v>0</v>
      </c>
      <c r="R220" s="595">
        <f t="shared" si="67"/>
        <v>41178650</v>
      </c>
      <c r="S220" s="595">
        <f>SUM(S221:S224)</f>
        <v>41126150</v>
      </c>
      <c r="T220" s="595">
        <f>SUM(T221:T224)</f>
        <v>0</v>
      </c>
      <c r="U220" s="595">
        <f t="shared" si="68"/>
        <v>41126150</v>
      </c>
      <c r="V220" s="595">
        <f t="shared" si="81"/>
        <v>1997700</v>
      </c>
      <c r="W220" s="595"/>
      <c r="X220" s="595">
        <f t="shared" si="71"/>
        <v>52500</v>
      </c>
      <c r="Y220" s="597">
        <f t="shared" si="69"/>
        <v>0.9536752864134348</v>
      </c>
    </row>
    <row r="221" spans="1:25" s="588" customFormat="1" ht="39.75" customHeight="1">
      <c r="A221" s="728">
        <v>7</v>
      </c>
      <c r="B221" s="729" t="s">
        <v>348</v>
      </c>
      <c r="C221" s="729" t="s">
        <v>357</v>
      </c>
      <c r="D221" s="640">
        <v>2</v>
      </c>
      <c r="E221" s="696" t="s">
        <v>350</v>
      </c>
      <c r="F221" s="696" t="s">
        <v>348</v>
      </c>
      <c r="G221" s="738">
        <v>5</v>
      </c>
      <c r="H221" s="738">
        <v>1</v>
      </c>
      <c r="I221" s="696" t="s">
        <v>350</v>
      </c>
      <c r="J221" s="654" t="s">
        <v>348</v>
      </c>
      <c r="K221" s="654" t="s">
        <v>348</v>
      </c>
      <c r="L221" s="654" t="s">
        <v>384</v>
      </c>
      <c r="M221" s="670">
        <v>6</v>
      </c>
      <c r="N221" s="663" t="str">
        <f>'[1]SPJ FUNGSIONAL '!N228</f>
        <v xml:space="preserve">Belanja Alat/Bahan Untuk Kegiatan Kantor-Bahan Cetak </v>
      </c>
      <c r="O221" s="644">
        <f>'[1]SPJ FUNGSIONAL '!O228</f>
        <v>4188850</v>
      </c>
      <c r="P221" s="644">
        <f>'[5]LRA SP2D'!$R$197</f>
        <v>3557200</v>
      </c>
      <c r="Q221" s="644">
        <f>T221</f>
        <v>0</v>
      </c>
      <c r="R221" s="644">
        <f t="shared" si="67"/>
        <v>3557200</v>
      </c>
      <c r="S221" s="644">
        <f>'[1]SPJ FUNGSIONAL '!Y228</f>
        <v>3557200</v>
      </c>
      <c r="T221" s="644">
        <f>'[1]SPJ FUNGSIONAL '!Z228</f>
        <v>0</v>
      </c>
      <c r="U221" s="644">
        <f t="shared" si="68"/>
        <v>3557200</v>
      </c>
      <c r="V221" s="644">
        <f t="shared" si="81"/>
        <v>631650</v>
      </c>
      <c r="W221" s="644"/>
      <c r="X221" s="644">
        <f t="shared" si="71"/>
        <v>0</v>
      </c>
      <c r="Y221" s="646">
        <f t="shared" si="69"/>
        <v>0.84920682287501348</v>
      </c>
    </row>
    <row r="222" spans="1:25" s="588" customFormat="1" ht="39.75" customHeight="1">
      <c r="A222" s="728">
        <v>7</v>
      </c>
      <c r="B222" s="729" t="s">
        <v>348</v>
      </c>
      <c r="C222" s="729" t="s">
        <v>357</v>
      </c>
      <c r="D222" s="640">
        <v>2</v>
      </c>
      <c r="E222" s="696" t="s">
        <v>350</v>
      </c>
      <c r="F222" s="696" t="s">
        <v>348</v>
      </c>
      <c r="G222" s="738">
        <v>5</v>
      </c>
      <c r="H222" s="738">
        <v>1</v>
      </c>
      <c r="I222" s="696" t="s">
        <v>350</v>
      </c>
      <c r="J222" s="654" t="s">
        <v>348</v>
      </c>
      <c r="K222" s="654" t="s">
        <v>348</v>
      </c>
      <c r="L222" s="654" t="s">
        <v>380</v>
      </c>
      <c r="M222" s="670">
        <v>5</v>
      </c>
      <c r="N222" s="663" t="str">
        <f>'[1]SPJ FUNGSIONAL '!N229</f>
        <v xml:space="preserve">Belanja Alat/Bahan Untuk Kegiatan Kantor-Souvernir/Cwndera Mata </v>
      </c>
      <c r="O222" s="644">
        <f>'[1]SPJ FUNGSIONAL '!O229</f>
        <v>4450000</v>
      </c>
      <c r="P222" s="644">
        <f>'[5]LRA SP2D'!$R$198</f>
        <v>4450000</v>
      </c>
      <c r="Q222" s="644">
        <f>T222</f>
        <v>0</v>
      </c>
      <c r="R222" s="644">
        <f t="shared" ref="R222:R274" si="85">P222+Q222</f>
        <v>4450000</v>
      </c>
      <c r="S222" s="644">
        <f>'[1]SPJ FUNGSIONAL '!Y229</f>
        <v>4450000</v>
      </c>
      <c r="T222" s="644">
        <f>'[1]SPJ FUNGSIONAL '!Z229</f>
        <v>0</v>
      </c>
      <c r="U222" s="644">
        <f t="shared" ref="U222:U277" si="86">S222+T222</f>
        <v>4450000</v>
      </c>
      <c r="V222" s="644">
        <f t="shared" si="81"/>
        <v>0</v>
      </c>
      <c r="W222" s="644">
        <f t="shared" si="83"/>
        <v>0</v>
      </c>
      <c r="X222" s="644">
        <f t="shared" si="71"/>
        <v>0</v>
      </c>
      <c r="Y222" s="646">
        <f t="shared" si="69"/>
        <v>1</v>
      </c>
    </row>
    <row r="223" spans="1:25" s="588" customFormat="1" ht="39.75" customHeight="1">
      <c r="A223" s="728">
        <v>7</v>
      </c>
      <c r="B223" s="729" t="s">
        <v>348</v>
      </c>
      <c r="C223" s="729" t="s">
        <v>357</v>
      </c>
      <c r="D223" s="640">
        <v>2</v>
      </c>
      <c r="E223" s="696" t="s">
        <v>350</v>
      </c>
      <c r="F223" s="696" t="s">
        <v>348</v>
      </c>
      <c r="G223" s="738">
        <v>5</v>
      </c>
      <c r="H223" s="738">
        <v>1</v>
      </c>
      <c r="I223" s="696" t="s">
        <v>350</v>
      </c>
      <c r="J223" s="654" t="s">
        <v>348</v>
      </c>
      <c r="K223" s="654" t="s">
        <v>348</v>
      </c>
      <c r="L223" s="654" t="s">
        <v>393</v>
      </c>
      <c r="M223" s="670">
        <v>2</v>
      </c>
      <c r="N223" s="642" t="str">
        <f>'[1]SPJ FUNGSIONAL '!N230</f>
        <v>Belanja Makanan dan Minuman Rapat</v>
      </c>
      <c r="O223" s="644">
        <f>'[1]SPJ FUNGSIONAL '!O230</f>
        <v>1506000</v>
      </c>
      <c r="P223" s="644">
        <f t="shared" ref="P223:Q224" si="87">S223</f>
        <v>1273125</v>
      </c>
      <c r="Q223" s="644">
        <f t="shared" si="87"/>
        <v>0</v>
      </c>
      <c r="R223" s="644">
        <f t="shared" si="85"/>
        <v>1273125</v>
      </c>
      <c r="S223" s="644">
        <f>'[1]SPJ FUNGSIONAL '!Y230</f>
        <v>1273125</v>
      </c>
      <c r="T223" s="644">
        <f>'[1]SPJ FUNGSIONAL '!Z230</f>
        <v>0</v>
      </c>
      <c r="U223" s="644">
        <f t="shared" si="86"/>
        <v>1273125</v>
      </c>
      <c r="V223" s="644">
        <f t="shared" si="81"/>
        <v>232875</v>
      </c>
      <c r="W223" s="644"/>
      <c r="X223" s="644">
        <f t="shared" si="71"/>
        <v>0</v>
      </c>
      <c r="Y223" s="646">
        <f t="shared" ref="Y223:Y286" si="88">U223/O223*100%</f>
        <v>0.84536852589641431</v>
      </c>
    </row>
    <row r="224" spans="1:25" s="588" customFormat="1" ht="39.75" customHeight="1">
      <c r="A224" s="728">
        <v>7</v>
      </c>
      <c r="B224" s="729" t="s">
        <v>348</v>
      </c>
      <c r="C224" s="729" t="s">
        <v>357</v>
      </c>
      <c r="D224" s="640">
        <v>2</v>
      </c>
      <c r="E224" s="696" t="s">
        <v>350</v>
      </c>
      <c r="F224" s="696" t="s">
        <v>348</v>
      </c>
      <c r="G224" s="738">
        <v>5</v>
      </c>
      <c r="H224" s="738">
        <v>1</v>
      </c>
      <c r="I224" s="696" t="s">
        <v>350</v>
      </c>
      <c r="J224" s="654" t="s">
        <v>348</v>
      </c>
      <c r="K224" s="654" t="s">
        <v>348</v>
      </c>
      <c r="L224" s="654" t="s">
        <v>393</v>
      </c>
      <c r="M224" s="670">
        <v>8</v>
      </c>
      <c r="N224" s="642" t="str">
        <f>'[1]SPJ FUNGSIONAL '!N231</f>
        <v xml:space="preserve">Belanja Makanan dan Minuman Aktivitas Lapangan </v>
      </c>
      <c r="O224" s="644">
        <f>'[1]SPJ FUNGSIONAL '!O231</f>
        <v>32979000</v>
      </c>
      <c r="P224" s="644">
        <f>'[2]LRA SP2D'!$R$224</f>
        <v>31898325</v>
      </c>
      <c r="Q224" s="644">
        <f t="shared" si="87"/>
        <v>0</v>
      </c>
      <c r="R224" s="644">
        <f t="shared" si="85"/>
        <v>31898325</v>
      </c>
      <c r="S224" s="644">
        <f>'[1]SPJ FUNGSIONAL '!Y231</f>
        <v>31845825</v>
      </c>
      <c r="T224" s="644">
        <f>'[1]SPJ FUNGSIONAL '!Z231</f>
        <v>0</v>
      </c>
      <c r="U224" s="644">
        <f t="shared" si="86"/>
        <v>31845825</v>
      </c>
      <c r="V224" s="644">
        <f t="shared" si="81"/>
        <v>1133175</v>
      </c>
      <c r="W224" s="644">
        <f>R224-U224</f>
        <v>52500</v>
      </c>
      <c r="X224" s="644"/>
      <c r="Y224" s="646">
        <f t="shared" si="88"/>
        <v>0.96563949786227599</v>
      </c>
    </row>
    <row r="225" spans="1:25" s="588" customFormat="1" ht="39.75" customHeight="1">
      <c r="A225" s="726">
        <v>7</v>
      </c>
      <c r="B225" s="727" t="s">
        <v>348</v>
      </c>
      <c r="C225" s="727" t="s">
        <v>357</v>
      </c>
      <c r="D225" s="624">
        <v>2</v>
      </c>
      <c r="E225" s="692" t="s">
        <v>350</v>
      </c>
      <c r="F225" s="692" t="s">
        <v>348</v>
      </c>
      <c r="G225" s="737">
        <v>5</v>
      </c>
      <c r="H225" s="737">
        <v>1</v>
      </c>
      <c r="I225" s="692" t="s">
        <v>350</v>
      </c>
      <c r="J225" s="672" t="s">
        <v>350</v>
      </c>
      <c r="K225" s="660"/>
      <c r="L225" s="660"/>
      <c r="M225" s="670"/>
      <c r="N225" s="668" t="s">
        <v>391</v>
      </c>
      <c r="O225" s="595">
        <f>O226+O230</f>
        <v>52230000</v>
      </c>
      <c r="P225" s="595">
        <f>P226+P230</f>
        <v>52230000</v>
      </c>
      <c r="Q225" s="595">
        <f>Q226+Q230</f>
        <v>0</v>
      </c>
      <c r="R225" s="595">
        <f>P225+Q225</f>
        <v>52230000</v>
      </c>
      <c r="S225" s="595">
        <f>S226+S230</f>
        <v>52230000</v>
      </c>
      <c r="T225" s="595">
        <f>T226+T230</f>
        <v>0</v>
      </c>
      <c r="U225" s="595">
        <f t="shared" si="86"/>
        <v>52230000</v>
      </c>
      <c r="V225" s="595">
        <f t="shared" si="81"/>
        <v>0</v>
      </c>
      <c r="W225" s="595"/>
      <c r="X225" s="595">
        <f t="shared" si="71"/>
        <v>0</v>
      </c>
      <c r="Y225" s="597">
        <f t="shared" si="88"/>
        <v>1</v>
      </c>
    </row>
    <row r="226" spans="1:25" s="588" customFormat="1" ht="39.75" customHeight="1">
      <c r="A226" s="726">
        <v>7</v>
      </c>
      <c r="B226" s="727" t="s">
        <v>348</v>
      </c>
      <c r="C226" s="727" t="s">
        <v>357</v>
      </c>
      <c r="D226" s="624">
        <v>2</v>
      </c>
      <c r="E226" s="692" t="s">
        <v>350</v>
      </c>
      <c r="F226" s="692" t="s">
        <v>348</v>
      </c>
      <c r="G226" s="737">
        <v>5</v>
      </c>
      <c r="H226" s="737">
        <v>1</v>
      </c>
      <c r="I226" s="692" t="s">
        <v>350</v>
      </c>
      <c r="J226" s="672" t="s">
        <v>350</v>
      </c>
      <c r="K226" s="672" t="s">
        <v>348</v>
      </c>
      <c r="L226" s="673"/>
      <c r="M226" s="674"/>
      <c r="N226" s="668" t="s">
        <v>459</v>
      </c>
      <c r="O226" s="595">
        <f>SUM(O227:O229)</f>
        <v>51830000</v>
      </c>
      <c r="P226" s="595">
        <f>SUM(P227:P229)</f>
        <v>51830000</v>
      </c>
      <c r="Q226" s="595">
        <f>SUM(Q227:Q229)</f>
        <v>0</v>
      </c>
      <c r="R226" s="595">
        <f>P226+Q226</f>
        <v>51830000</v>
      </c>
      <c r="S226" s="595">
        <f>SUM(S227:S229)</f>
        <v>51830000</v>
      </c>
      <c r="T226" s="595">
        <f>SUM(T227:T229)</f>
        <v>0</v>
      </c>
      <c r="U226" s="595">
        <f>S226+T226</f>
        <v>51830000</v>
      </c>
      <c r="V226" s="595">
        <f t="shared" si="81"/>
        <v>0</v>
      </c>
      <c r="W226" s="595"/>
      <c r="X226" s="595">
        <f t="shared" si="71"/>
        <v>0</v>
      </c>
      <c r="Y226" s="597">
        <f t="shared" si="88"/>
        <v>1</v>
      </c>
    </row>
    <row r="227" spans="1:25" s="588" customFormat="1" ht="39.75" customHeight="1">
      <c r="A227" s="728">
        <v>7</v>
      </c>
      <c r="B227" s="729" t="s">
        <v>348</v>
      </c>
      <c r="C227" s="729" t="s">
        <v>357</v>
      </c>
      <c r="D227" s="640">
        <v>2</v>
      </c>
      <c r="E227" s="639" t="s">
        <v>350</v>
      </c>
      <c r="F227" s="639" t="s">
        <v>348</v>
      </c>
      <c r="G227" s="640">
        <v>5</v>
      </c>
      <c r="H227" s="640">
        <v>1</v>
      </c>
      <c r="I227" s="639" t="s">
        <v>350</v>
      </c>
      <c r="J227" s="654" t="s">
        <v>350</v>
      </c>
      <c r="K227" s="654" t="s">
        <v>348</v>
      </c>
      <c r="L227" s="654" t="s">
        <v>354</v>
      </c>
      <c r="M227" s="670">
        <v>3</v>
      </c>
      <c r="N227" s="663" t="str">
        <f>'[1]SPJ FUNGSIONAL '!N234</f>
        <v>Honorarium Narasumber atau Pembahas, Moderator, Pembawa Acara dan Panitia</v>
      </c>
      <c r="O227" s="644">
        <f>'[1]SPJ FUNGSIONAL '!O234</f>
        <v>450000</v>
      </c>
      <c r="P227" s="644">
        <f t="shared" ref="P227:Q229" si="89">S227</f>
        <v>450000</v>
      </c>
      <c r="Q227" s="644">
        <f t="shared" si="89"/>
        <v>0</v>
      </c>
      <c r="R227" s="644">
        <f t="shared" si="85"/>
        <v>450000</v>
      </c>
      <c r="S227" s="644">
        <f>'[1]SPJ FUNGSIONAL '!Y234</f>
        <v>450000</v>
      </c>
      <c r="T227" s="644">
        <f>'[1]SPJ FUNGSIONAL '!Z234</f>
        <v>0</v>
      </c>
      <c r="U227" s="644">
        <f t="shared" si="86"/>
        <v>450000</v>
      </c>
      <c r="V227" s="644">
        <f t="shared" si="81"/>
        <v>0</v>
      </c>
      <c r="W227" s="644"/>
      <c r="X227" s="644">
        <f t="shared" si="71"/>
        <v>0</v>
      </c>
      <c r="Y227" s="646">
        <f t="shared" si="88"/>
        <v>1</v>
      </c>
    </row>
    <row r="228" spans="1:25" s="588" customFormat="1" ht="39.75" customHeight="1">
      <c r="A228" s="728">
        <v>7</v>
      </c>
      <c r="B228" s="729" t="s">
        <v>348</v>
      </c>
      <c r="C228" s="729" t="s">
        <v>357</v>
      </c>
      <c r="D228" s="640">
        <v>2</v>
      </c>
      <c r="E228" s="639" t="s">
        <v>350</v>
      </c>
      <c r="F228" s="639" t="s">
        <v>348</v>
      </c>
      <c r="G228" s="640">
        <v>5</v>
      </c>
      <c r="H228" s="640">
        <v>1</v>
      </c>
      <c r="I228" s="639" t="s">
        <v>350</v>
      </c>
      <c r="J228" s="654" t="s">
        <v>350</v>
      </c>
      <c r="K228" s="654" t="s">
        <v>348</v>
      </c>
      <c r="L228" s="654" t="s">
        <v>354</v>
      </c>
      <c r="M228" s="670">
        <v>4</v>
      </c>
      <c r="N228" s="663" t="str">
        <f>'[1]SPJ FUNGSIONAL '!N235</f>
        <v xml:space="preserve">Honoraraium Tim Pelaksana Kegiatan dan Sekretariat Tim Pelaksanan Kegiatan </v>
      </c>
      <c r="O228" s="644">
        <f>'[1]SPJ FUNGSIONAL '!O235</f>
        <v>880000</v>
      </c>
      <c r="P228" s="644">
        <f>'[5]LRA SP2D'!$R$204</f>
        <v>880000</v>
      </c>
      <c r="Q228" s="644">
        <f t="shared" si="89"/>
        <v>0</v>
      </c>
      <c r="R228" s="644">
        <f>SUM(P228:Q228)</f>
        <v>880000</v>
      </c>
      <c r="S228" s="644">
        <f>'[1]SPJ FUNGSIONAL '!Y235</f>
        <v>880000</v>
      </c>
      <c r="T228" s="644">
        <f>'[1]SPJ FUNGSIONAL '!Z235</f>
        <v>0</v>
      </c>
      <c r="U228" s="644">
        <f>SUM(S228:T228)</f>
        <v>880000</v>
      </c>
      <c r="V228" s="644">
        <f t="shared" si="81"/>
        <v>0</v>
      </c>
      <c r="W228" s="644"/>
      <c r="X228" s="644">
        <f t="shared" si="71"/>
        <v>0</v>
      </c>
      <c r="Y228" s="646">
        <f t="shared" si="88"/>
        <v>1</v>
      </c>
    </row>
    <row r="229" spans="1:25" s="588" customFormat="1" ht="39.75" customHeight="1">
      <c r="A229" s="728">
        <v>7</v>
      </c>
      <c r="B229" s="729" t="s">
        <v>348</v>
      </c>
      <c r="C229" s="729" t="s">
        <v>357</v>
      </c>
      <c r="D229" s="640">
        <v>2</v>
      </c>
      <c r="E229" s="639" t="s">
        <v>350</v>
      </c>
      <c r="F229" s="639" t="s">
        <v>348</v>
      </c>
      <c r="G229" s="640">
        <v>5</v>
      </c>
      <c r="H229" s="640">
        <v>1</v>
      </c>
      <c r="I229" s="639" t="s">
        <v>350</v>
      </c>
      <c r="J229" s="654" t="s">
        <v>350</v>
      </c>
      <c r="K229" s="654" t="s">
        <v>348</v>
      </c>
      <c r="L229" s="654" t="s">
        <v>354</v>
      </c>
      <c r="M229" s="670">
        <v>6</v>
      </c>
      <c r="N229" s="663" t="str">
        <f>'[1]SPJ FUNGSIONAL '!N236</f>
        <v>Honorarium Penyuluh atau Pendamping</v>
      </c>
      <c r="O229" s="644">
        <f>'[1]SPJ FUNGSIONAL '!O236</f>
        <v>50500000</v>
      </c>
      <c r="P229" s="644">
        <f t="shared" si="89"/>
        <v>50500000</v>
      </c>
      <c r="Q229" s="644">
        <f t="shared" si="89"/>
        <v>0</v>
      </c>
      <c r="R229" s="644">
        <f t="shared" si="85"/>
        <v>50500000</v>
      </c>
      <c r="S229" s="644">
        <f>'[1]SPJ FUNGSIONAL '!Y236</f>
        <v>50500000</v>
      </c>
      <c r="T229" s="644">
        <f>'[1]SPJ FUNGSIONAL '!Z236</f>
        <v>0</v>
      </c>
      <c r="U229" s="644">
        <f>SUM(S229:T229)</f>
        <v>50500000</v>
      </c>
      <c r="V229" s="644">
        <f t="shared" si="81"/>
        <v>0</v>
      </c>
      <c r="W229" s="644"/>
      <c r="X229" s="644"/>
      <c r="Y229" s="646">
        <f t="shared" si="88"/>
        <v>1</v>
      </c>
    </row>
    <row r="230" spans="1:25" s="598" customFormat="1" ht="39.75" customHeight="1">
      <c r="A230" s="726">
        <v>7</v>
      </c>
      <c r="B230" s="727" t="s">
        <v>348</v>
      </c>
      <c r="C230" s="727" t="s">
        <v>357</v>
      </c>
      <c r="D230" s="624">
        <v>2</v>
      </c>
      <c r="E230" s="692" t="s">
        <v>350</v>
      </c>
      <c r="F230" s="692" t="s">
        <v>348</v>
      </c>
      <c r="G230" s="737">
        <v>5</v>
      </c>
      <c r="H230" s="737">
        <v>1</v>
      </c>
      <c r="I230" s="692" t="s">
        <v>350</v>
      </c>
      <c r="J230" s="672" t="s">
        <v>350</v>
      </c>
      <c r="K230" s="672" t="s">
        <v>382</v>
      </c>
      <c r="L230" s="673"/>
      <c r="M230" s="674"/>
      <c r="N230" s="668" t="s">
        <v>496</v>
      </c>
      <c r="O230" s="740">
        <f>O231</f>
        <v>400000</v>
      </c>
      <c r="P230" s="740">
        <f t="shared" ref="P230:Q230" si="90">P231</f>
        <v>400000</v>
      </c>
      <c r="Q230" s="740">
        <f t="shared" si="90"/>
        <v>0</v>
      </c>
      <c r="R230" s="595">
        <f>SUM(P230:Q230)</f>
        <v>400000</v>
      </c>
      <c r="S230" s="740">
        <f>S231</f>
        <v>400000</v>
      </c>
      <c r="T230" s="740">
        <f>T231</f>
        <v>0</v>
      </c>
      <c r="U230" s="595">
        <f>SUM(S230:T230)</f>
        <v>400000</v>
      </c>
      <c r="V230" s="595">
        <f t="shared" si="81"/>
        <v>0</v>
      </c>
      <c r="W230" s="595"/>
      <c r="X230" s="595"/>
      <c r="Y230" s="597">
        <f t="shared" si="88"/>
        <v>1</v>
      </c>
    </row>
    <row r="231" spans="1:25" s="588" customFormat="1" ht="39.75" customHeight="1">
      <c r="A231" s="728">
        <v>7</v>
      </c>
      <c r="B231" s="729" t="s">
        <v>348</v>
      </c>
      <c r="C231" s="729" t="s">
        <v>357</v>
      </c>
      <c r="D231" s="640">
        <v>2</v>
      </c>
      <c r="E231" s="696" t="s">
        <v>350</v>
      </c>
      <c r="F231" s="696" t="s">
        <v>348</v>
      </c>
      <c r="G231" s="738">
        <v>5</v>
      </c>
      <c r="H231" s="738">
        <v>1</v>
      </c>
      <c r="I231" s="696" t="s">
        <v>350</v>
      </c>
      <c r="J231" s="654" t="s">
        <v>350</v>
      </c>
      <c r="K231" s="654" t="s">
        <v>382</v>
      </c>
      <c r="L231" s="654" t="s">
        <v>444</v>
      </c>
      <c r="M231" s="670">
        <v>7</v>
      </c>
      <c r="N231" s="741" t="str">
        <f>'[1]SPJ FUNGSIONAL '!N238</f>
        <v xml:space="preserve">Belanja Sewa Alat Kantor Lainnya </v>
      </c>
      <c r="O231" s="742">
        <f>'[1]SPJ FUNGSIONAL '!O238</f>
        <v>400000</v>
      </c>
      <c r="P231" s="644">
        <f>'[5]LRA SP2D'!$R$207</f>
        <v>400000</v>
      </c>
      <c r="Q231" s="644">
        <f>T231</f>
        <v>0</v>
      </c>
      <c r="R231" s="644">
        <f t="shared" si="85"/>
        <v>400000</v>
      </c>
      <c r="S231" s="644">
        <f>'[1]SPJ FUNGSIONAL '!Y238</f>
        <v>400000</v>
      </c>
      <c r="T231" s="644">
        <f>'[1]SPJ FUNGSIONAL '!Z238</f>
        <v>0</v>
      </c>
      <c r="U231" s="644">
        <f t="shared" si="86"/>
        <v>400000</v>
      </c>
      <c r="V231" s="644">
        <f t="shared" si="81"/>
        <v>0</v>
      </c>
      <c r="W231" s="644"/>
      <c r="X231" s="644">
        <f t="shared" si="71"/>
        <v>0</v>
      </c>
      <c r="Y231" s="646">
        <f t="shared" si="88"/>
        <v>1</v>
      </c>
    </row>
    <row r="232" spans="1:25" s="588" customFormat="1" ht="25" customHeight="1">
      <c r="A232" s="743"/>
      <c r="B232" s="744"/>
      <c r="C232" s="744"/>
      <c r="D232" s="640"/>
      <c r="E232" s="640"/>
      <c r="F232" s="640"/>
      <c r="G232" s="640"/>
      <c r="H232" s="640"/>
      <c r="I232" s="640"/>
      <c r="J232" s="660"/>
      <c r="K232" s="745"/>
      <c r="L232" s="745"/>
      <c r="M232" s="746"/>
      <c r="N232" s="741"/>
      <c r="O232" s="742"/>
      <c r="P232" s="644"/>
      <c r="Q232" s="644"/>
      <c r="R232" s="644"/>
      <c r="S232" s="644"/>
      <c r="T232" s="644"/>
      <c r="U232" s="644"/>
      <c r="V232" s="644"/>
      <c r="W232" s="644"/>
      <c r="X232" s="644"/>
      <c r="Y232" s="646"/>
    </row>
    <row r="233" spans="1:25" s="588" customFormat="1" ht="48.75" customHeight="1">
      <c r="A233" s="720">
        <v>7</v>
      </c>
      <c r="B233" s="721" t="s">
        <v>348</v>
      </c>
      <c r="C233" s="721" t="s">
        <v>357</v>
      </c>
      <c r="D233" s="631">
        <v>2</v>
      </c>
      <c r="E233" s="722" t="s">
        <v>350</v>
      </c>
      <c r="F233" s="722" t="s">
        <v>357</v>
      </c>
      <c r="G233" s="724"/>
      <c r="H233" s="724"/>
      <c r="I233" s="724"/>
      <c r="J233" s="724"/>
      <c r="K233" s="724"/>
      <c r="L233" s="724"/>
      <c r="M233" s="725"/>
      <c r="N233" s="665" t="s">
        <v>498</v>
      </c>
      <c r="O233" s="634">
        <f>O234</f>
        <v>521971026</v>
      </c>
      <c r="P233" s="634">
        <f>P234+P259+P263</f>
        <v>401396750</v>
      </c>
      <c r="Q233" s="634">
        <f t="shared" ref="Q233:V233" si="91">Q234</f>
        <v>34048200</v>
      </c>
      <c r="R233" s="634">
        <f t="shared" si="91"/>
        <v>435444950</v>
      </c>
      <c r="S233" s="634">
        <f t="shared" si="91"/>
        <v>421318250</v>
      </c>
      <c r="T233" s="634">
        <f t="shared" si="91"/>
        <v>41424850</v>
      </c>
      <c r="U233" s="634">
        <f t="shared" si="91"/>
        <v>462743100</v>
      </c>
      <c r="V233" s="634">
        <f t="shared" si="91"/>
        <v>59227926</v>
      </c>
      <c r="W233" s="635"/>
      <c r="X233" s="635">
        <f t="shared" ref="X233:X296" si="92">R233-U233</f>
        <v>-27298150</v>
      </c>
      <c r="Y233" s="666">
        <f t="shared" si="88"/>
        <v>0.88653024200619135</v>
      </c>
    </row>
    <row r="234" spans="1:25" s="588" customFormat="1" ht="39.75" customHeight="1">
      <c r="A234" s="726">
        <v>7</v>
      </c>
      <c r="B234" s="727" t="s">
        <v>348</v>
      </c>
      <c r="C234" s="727" t="s">
        <v>357</v>
      </c>
      <c r="D234" s="624">
        <v>2</v>
      </c>
      <c r="E234" s="692" t="s">
        <v>350</v>
      </c>
      <c r="F234" s="692" t="s">
        <v>357</v>
      </c>
      <c r="G234" s="737">
        <v>5</v>
      </c>
      <c r="H234" s="737">
        <v>1</v>
      </c>
      <c r="I234" s="692" t="s">
        <v>350</v>
      </c>
      <c r="J234" s="640"/>
      <c r="K234" s="640"/>
      <c r="L234" s="640"/>
      <c r="M234" s="641"/>
      <c r="N234" s="668" t="s">
        <v>489</v>
      </c>
      <c r="O234" s="740">
        <f>O235+O248+O259+O263</f>
        <v>521971026</v>
      </c>
      <c r="P234" s="740">
        <f>P235+P248</f>
        <v>356746750</v>
      </c>
      <c r="Q234" s="740">
        <f t="shared" ref="Q234:U234" si="93">Q235+Q248+Q259+Q263</f>
        <v>34048200</v>
      </c>
      <c r="R234" s="740">
        <f t="shared" si="93"/>
        <v>435444950</v>
      </c>
      <c r="S234" s="740">
        <f t="shared" si="93"/>
        <v>421318250</v>
      </c>
      <c r="T234" s="740">
        <f t="shared" si="93"/>
        <v>41424850</v>
      </c>
      <c r="U234" s="740">
        <f t="shared" si="93"/>
        <v>462743100</v>
      </c>
      <c r="V234" s="740">
        <f>V235+V248+V259+V263</f>
        <v>59227926</v>
      </c>
      <c r="W234" s="595"/>
      <c r="X234" s="595">
        <f t="shared" si="92"/>
        <v>-27298150</v>
      </c>
      <c r="Y234" s="597">
        <f t="shared" si="88"/>
        <v>0.88653024200619135</v>
      </c>
    </row>
    <row r="235" spans="1:25" s="588" customFormat="1" ht="39.75" customHeight="1">
      <c r="A235" s="726">
        <v>7</v>
      </c>
      <c r="B235" s="727" t="s">
        <v>348</v>
      </c>
      <c r="C235" s="727" t="s">
        <v>357</v>
      </c>
      <c r="D235" s="624">
        <v>2</v>
      </c>
      <c r="E235" s="692" t="s">
        <v>350</v>
      </c>
      <c r="F235" s="692" t="s">
        <v>357</v>
      </c>
      <c r="G235" s="737">
        <v>5</v>
      </c>
      <c r="H235" s="737">
        <v>1</v>
      </c>
      <c r="I235" s="692" t="s">
        <v>350</v>
      </c>
      <c r="J235" s="637" t="s">
        <v>348</v>
      </c>
      <c r="K235" s="640"/>
      <c r="L235" s="640"/>
      <c r="M235" s="641"/>
      <c r="N235" s="668" t="s">
        <v>398</v>
      </c>
      <c r="O235" s="740">
        <f>O236</f>
        <v>217853650</v>
      </c>
      <c r="P235" s="740">
        <f t="shared" ref="P235:U235" si="94">P236</f>
        <v>159396750</v>
      </c>
      <c r="Q235" s="740">
        <f t="shared" si="94"/>
        <v>4768200</v>
      </c>
      <c r="R235" s="740">
        <f t="shared" si="94"/>
        <v>164164950</v>
      </c>
      <c r="S235" s="740">
        <f t="shared" si="94"/>
        <v>160058250</v>
      </c>
      <c r="T235" s="740">
        <f t="shared" si="94"/>
        <v>21404850</v>
      </c>
      <c r="U235" s="740">
        <f t="shared" si="94"/>
        <v>181463100</v>
      </c>
      <c r="V235" s="740">
        <f>V236</f>
        <v>36390550</v>
      </c>
      <c r="W235" s="595"/>
      <c r="X235" s="595">
        <f t="shared" si="92"/>
        <v>-17298150</v>
      </c>
      <c r="Y235" s="597">
        <f t="shared" si="88"/>
        <v>0.83295873169900991</v>
      </c>
    </row>
    <row r="236" spans="1:25" s="588" customFormat="1" ht="39.75" customHeight="1">
      <c r="A236" s="726">
        <v>7</v>
      </c>
      <c r="B236" s="727" t="s">
        <v>348</v>
      </c>
      <c r="C236" s="727" t="s">
        <v>357</v>
      </c>
      <c r="D236" s="624">
        <v>2</v>
      </c>
      <c r="E236" s="692" t="s">
        <v>350</v>
      </c>
      <c r="F236" s="692" t="s">
        <v>357</v>
      </c>
      <c r="G236" s="737">
        <v>5</v>
      </c>
      <c r="H236" s="737">
        <v>1</v>
      </c>
      <c r="I236" s="692" t="s">
        <v>350</v>
      </c>
      <c r="J236" s="637" t="s">
        <v>348</v>
      </c>
      <c r="K236" s="637" t="s">
        <v>348</v>
      </c>
      <c r="L236" s="745"/>
      <c r="M236" s="746"/>
      <c r="N236" s="747" t="s">
        <v>440</v>
      </c>
      <c r="O236" s="740">
        <f>SUM(O237:O247)</f>
        <v>217853650</v>
      </c>
      <c r="P236" s="740">
        <f t="shared" ref="P236:U236" si="95">SUM(P238:P247)</f>
        <v>159396750</v>
      </c>
      <c r="Q236" s="740">
        <f t="shared" si="95"/>
        <v>4768200</v>
      </c>
      <c r="R236" s="740">
        <f t="shared" si="95"/>
        <v>164164950</v>
      </c>
      <c r="S236" s="740">
        <f t="shared" si="95"/>
        <v>160058250</v>
      </c>
      <c r="T236" s="740">
        <f t="shared" si="95"/>
        <v>21404850</v>
      </c>
      <c r="U236" s="740">
        <f t="shared" si="95"/>
        <v>181463100</v>
      </c>
      <c r="V236" s="740">
        <f>SUM(V237:V247)</f>
        <v>36390550</v>
      </c>
      <c r="W236" s="595"/>
      <c r="X236" s="595">
        <f t="shared" si="92"/>
        <v>-17298150</v>
      </c>
      <c r="Y236" s="597">
        <f t="shared" si="88"/>
        <v>0.83295873169900991</v>
      </c>
    </row>
    <row r="237" spans="1:25" s="588" customFormat="1" ht="39.75" customHeight="1">
      <c r="A237" s="728">
        <v>7</v>
      </c>
      <c r="B237" s="729" t="s">
        <v>348</v>
      </c>
      <c r="C237" s="729" t="s">
        <v>357</v>
      </c>
      <c r="D237" s="640">
        <v>2</v>
      </c>
      <c r="E237" s="696" t="s">
        <v>350</v>
      </c>
      <c r="F237" s="696" t="s">
        <v>357</v>
      </c>
      <c r="G237" s="738">
        <v>5</v>
      </c>
      <c r="H237" s="738">
        <v>1</v>
      </c>
      <c r="I237" s="696" t="s">
        <v>350</v>
      </c>
      <c r="J237" s="639" t="s">
        <v>348</v>
      </c>
      <c r="K237" s="639" t="s">
        <v>348</v>
      </c>
      <c r="L237" s="748" t="s">
        <v>354</v>
      </c>
      <c r="M237" s="746">
        <v>4</v>
      </c>
      <c r="N237" s="741" t="str">
        <f>'[1]SPJ FUNGSIONAL '!N244</f>
        <v>Belanja Bahan Bakar dan Pelumas</v>
      </c>
      <c r="O237" s="742">
        <f>'[1]SPJ FUNGSIONAL '!O244</f>
        <v>150</v>
      </c>
      <c r="P237" s="740"/>
      <c r="Q237" s="740"/>
      <c r="R237" s="740"/>
      <c r="S237" s="740"/>
      <c r="T237" s="740"/>
      <c r="U237" s="740"/>
      <c r="V237" s="644">
        <f t="shared" si="81"/>
        <v>150</v>
      </c>
      <c r="W237" s="595"/>
      <c r="X237" s="595"/>
      <c r="Y237" s="646">
        <f t="shared" si="88"/>
        <v>0</v>
      </c>
    </row>
    <row r="238" spans="1:25" s="588" customFormat="1" ht="39.75" customHeight="1">
      <c r="A238" s="728">
        <v>7</v>
      </c>
      <c r="B238" s="729" t="s">
        <v>348</v>
      </c>
      <c r="C238" s="729" t="s">
        <v>357</v>
      </c>
      <c r="D238" s="640">
        <v>2</v>
      </c>
      <c r="E238" s="696" t="s">
        <v>350</v>
      </c>
      <c r="F238" s="696" t="s">
        <v>357</v>
      </c>
      <c r="G238" s="738">
        <v>5</v>
      </c>
      <c r="H238" s="738">
        <v>1</v>
      </c>
      <c r="I238" s="696" t="s">
        <v>350</v>
      </c>
      <c r="J238" s="639" t="s">
        <v>348</v>
      </c>
      <c r="K238" s="639" t="s">
        <v>348</v>
      </c>
      <c r="L238" s="748" t="s">
        <v>354</v>
      </c>
      <c r="M238" s="746">
        <v>5</v>
      </c>
      <c r="N238" s="741" t="str">
        <f>'[1]SPJ FUNGSIONAL '!N245</f>
        <v xml:space="preserve">Belanja Bahan Baku </v>
      </c>
      <c r="O238" s="742">
        <f>'[1]SPJ FUNGSIONAL '!O245</f>
        <v>54727000</v>
      </c>
      <c r="P238" s="644">
        <f t="shared" ref="P238:Q246" si="96">S238</f>
        <v>48810250</v>
      </c>
      <c r="Q238" s="644">
        <f t="shared" si="96"/>
        <v>0</v>
      </c>
      <c r="R238" s="644">
        <f t="shared" si="85"/>
        <v>48810250</v>
      </c>
      <c r="S238" s="644">
        <f>'[1]SPJ FUNGSIONAL '!Y245</f>
        <v>48810250</v>
      </c>
      <c r="T238" s="644">
        <f>'[1]SPJ FUNGSIONAL '!Z245</f>
        <v>0</v>
      </c>
      <c r="U238" s="644">
        <f t="shared" si="86"/>
        <v>48810250</v>
      </c>
      <c r="V238" s="644">
        <f t="shared" si="81"/>
        <v>5916750</v>
      </c>
      <c r="W238" s="644"/>
      <c r="X238" s="644">
        <f t="shared" si="92"/>
        <v>0</v>
      </c>
      <c r="Y238" s="646">
        <f t="shared" si="88"/>
        <v>0.89188608913333456</v>
      </c>
    </row>
    <row r="239" spans="1:25" s="588" customFormat="1" ht="39.75" customHeight="1">
      <c r="A239" s="728">
        <v>7</v>
      </c>
      <c r="B239" s="729" t="s">
        <v>348</v>
      </c>
      <c r="C239" s="729" t="s">
        <v>357</v>
      </c>
      <c r="D239" s="640">
        <v>2</v>
      </c>
      <c r="E239" s="696" t="s">
        <v>350</v>
      </c>
      <c r="F239" s="696" t="s">
        <v>357</v>
      </c>
      <c r="G239" s="738">
        <v>5</v>
      </c>
      <c r="H239" s="738">
        <v>1</v>
      </c>
      <c r="I239" s="696" t="s">
        <v>350</v>
      </c>
      <c r="J239" s="639" t="s">
        <v>348</v>
      </c>
      <c r="K239" s="639" t="s">
        <v>348</v>
      </c>
      <c r="L239" s="748" t="s">
        <v>384</v>
      </c>
      <c r="M239" s="746">
        <v>4</v>
      </c>
      <c r="N239" s="642" t="s">
        <v>499</v>
      </c>
      <c r="O239" s="742">
        <f>'[1]SPJ FUNGSIONAL '!O246</f>
        <v>26132500</v>
      </c>
      <c r="P239" s="644">
        <f t="shared" si="96"/>
        <v>25601750</v>
      </c>
      <c r="Q239" s="644"/>
      <c r="R239" s="644">
        <f t="shared" si="85"/>
        <v>25601750</v>
      </c>
      <c r="S239" s="644">
        <f>'[1]SPJ FUNGSIONAL '!Y246</f>
        <v>25601750</v>
      </c>
      <c r="T239" s="644">
        <f>'[1]SPJ FUNGSIONAL '!Z246</f>
        <v>352000</v>
      </c>
      <c r="U239" s="644">
        <f t="shared" si="86"/>
        <v>25953750</v>
      </c>
      <c r="V239" s="644">
        <f t="shared" si="81"/>
        <v>178750</v>
      </c>
      <c r="W239" s="644"/>
      <c r="X239" s="644">
        <f t="shared" si="92"/>
        <v>-352000</v>
      </c>
      <c r="Y239" s="646">
        <f t="shared" si="88"/>
        <v>0.99315985841385246</v>
      </c>
    </row>
    <row r="240" spans="1:25" s="588" customFormat="1" ht="39.75" customHeight="1">
      <c r="A240" s="728">
        <v>7</v>
      </c>
      <c r="B240" s="729" t="s">
        <v>348</v>
      </c>
      <c r="C240" s="729" t="s">
        <v>357</v>
      </c>
      <c r="D240" s="640">
        <v>2</v>
      </c>
      <c r="E240" s="696" t="s">
        <v>350</v>
      </c>
      <c r="F240" s="696" t="s">
        <v>357</v>
      </c>
      <c r="G240" s="738">
        <v>5</v>
      </c>
      <c r="H240" s="738">
        <v>1</v>
      </c>
      <c r="I240" s="696" t="s">
        <v>350</v>
      </c>
      <c r="J240" s="639" t="s">
        <v>348</v>
      </c>
      <c r="K240" s="639" t="s">
        <v>348</v>
      </c>
      <c r="L240" s="748" t="s">
        <v>384</v>
      </c>
      <c r="M240" s="746">
        <v>5</v>
      </c>
      <c r="N240" s="663" t="s">
        <v>500</v>
      </c>
      <c r="O240" s="742">
        <f>'[1]SPJ FUNGSIONAL '!O247</f>
        <v>1245900</v>
      </c>
      <c r="P240" s="644">
        <f t="shared" si="96"/>
        <v>701500</v>
      </c>
      <c r="Q240" s="644"/>
      <c r="R240" s="644">
        <f t="shared" si="85"/>
        <v>701500</v>
      </c>
      <c r="S240" s="644">
        <f>'[1]SPJ FUNGSIONAL '!Y247</f>
        <v>701500</v>
      </c>
      <c r="T240" s="644">
        <f>'[1]SPJ FUNGSIONAL '!Z247</f>
        <v>110000</v>
      </c>
      <c r="U240" s="644">
        <f t="shared" si="86"/>
        <v>811500</v>
      </c>
      <c r="V240" s="644">
        <f t="shared" si="81"/>
        <v>434400</v>
      </c>
      <c r="W240" s="644"/>
      <c r="X240" s="644">
        <f t="shared" si="92"/>
        <v>-110000</v>
      </c>
      <c r="Y240" s="646">
        <f t="shared" si="88"/>
        <v>0.65133638333734645</v>
      </c>
    </row>
    <row r="241" spans="1:25" s="588" customFormat="1" ht="39.75" customHeight="1">
      <c r="A241" s="728">
        <v>7</v>
      </c>
      <c r="B241" s="729" t="s">
        <v>348</v>
      </c>
      <c r="C241" s="729" t="s">
        <v>357</v>
      </c>
      <c r="D241" s="640">
        <v>2</v>
      </c>
      <c r="E241" s="696" t="s">
        <v>350</v>
      </c>
      <c r="F241" s="696" t="s">
        <v>357</v>
      </c>
      <c r="G241" s="738">
        <v>5</v>
      </c>
      <c r="H241" s="738">
        <v>1</v>
      </c>
      <c r="I241" s="696" t="s">
        <v>350</v>
      </c>
      <c r="J241" s="639" t="s">
        <v>348</v>
      </c>
      <c r="K241" s="639" t="s">
        <v>348</v>
      </c>
      <c r="L241" s="748" t="s">
        <v>384</v>
      </c>
      <c r="M241" s="749" t="s">
        <v>429</v>
      </c>
      <c r="N241" s="663" t="s">
        <v>501</v>
      </c>
      <c r="O241" s="742">
        <f>'[1]SPJ FUNGSIONAL '!O248</f>
        <v>10991500</v>
      </c>
      <c r="P241" s="644">
        <f t="shared" si="96"/>
        <v>5263750</v>
      </c>
      <c r="Q241" s="644">
        <v>679500</v>
      </c>
      <c r="R241" s="644">
        <f t="shared" si="85"/>
        <v>5943250</v>
      </c>
      <c r="S241" s="644">
        <f>'[1]SPJ FUNGSIONAL '!Y248</f>
        <v>5263750</v>
      </c>
      <c r="T241" s="644">
        <f>'[1]SPJ FUNGSIONAL '!Z248</f>
        <v>679500</v>
      </c>
      <c r="U241" s="644">
        <f t="shared" si="86"/>
        <v>5943250</v>
      </c>
      <c r="V241" s="644">
        <f t="shared" si="81"/>
        <v>5048250</v>
      </c>
      <c r="W241" s="644"/>
      <c r="X241" s="644">
        <f t="shared" si="92"/>
        <v>0</v>
      </c>
      <c r="Y241" s="646">
        <f t="shared" si="88"/>
        <v>0.54071327844243278</v>
      </c>
    </row>
    <row r="242" spans="1:25" s="588" customFormat="1" ht="39.75" customHeight="1">
      <c r="A242" s="728">
        <v>7</v>
      </c>
      <c r="B242" s="729" t="s">
        <v>348</v>
      </c>
      <c r="C242" s="729" t="s">
        <v>357</v>
      </c>
      <c r="D242" s="640">
        <v>2</v>
      </c>
      <c r="E242" s="696" t="s">
        <v>350</v>
      </c>
      <c r="F242" s="696" t="s">
        <v>357</v>
      </c>
      <c r="G242" s="738">
        <v>5</v>
      </c>
      <c r="H242" s="738">
        <v>1</v>
      </c>
      <c r="I242" s="696" t="s">
        <v>350</v>
      </c>
      <c r="J242" s="639" t="s">
        <v>348</v>
      </c>
      <c r="K242" s="639" t="s">
        <v>348</v>
      </c>
      <c r="L242" s="748" t="s">
        <v>384</v>
      </c>
      <c r="M242" s="746">
        <v>9</v>
      </c>
      <c r="N242" s="663" t="s">
        <v>502</v>
      </c>
      <c r="O242" s="742">
        <f>'[1]SPJ FUNGSIONAL '!O249</f>
        <v>1276600</v>
      </c>
      <c r="P242" s="644">
        <f t="shared" si="96"/>
        <v>1274800</v>
      </c>
      <c r="Q242" s="644">
        <f t="shared" si="96"/>
        <v>0</v>
      </c>
      <c r="R242" s="644">
        <f t="shared" si="85"/>
        <v>1274800</v>
      </c>
      <c r="S242" s="644">
        <f>'[1]SPJ FUNGSIONAL '!Y249</f>
        <v>1274800</v>
      </c>
      <c r="T242" s="644">
        <f>'[1]SPJ FUNGSIONAL '!Z249</f>
        <v>0</v>
      </c>
      <c r="U242" s="644">
        <f t="shared" si="86"/>
        <v>1274800</v>
      </c>
      <c r="V242" s="644">
        <f t="shared" si="81"/>
        <v>1800</v>
      </c>
      <c r="W242" s="644"/>
      <c r="X242" s="644">
        <f t="shared" si="92"/>
        <v>0</v>
      </c>
      <c r="Y242" s="646">
        <f t="shared" si="88"/>
        <v>0.99859000469998438</v>
      </c>
    </row>
    <row r="243" spans="1:25" s="588" customFormat="1" ht="39.75" customHeight="1">
      <c r="A243" s="728">
        <v>7</v>
      </c>
      <c r="B243" s="729" t="s">
        <v>348</v>
      </c>
      <c r="C243" s="729" t="s">
        <v>357</v>
      </c>
      <c r="D243" s="640">
        <v>2</v>
      </c>
      <c r="E243" s="696" t="s">
        <v>350</v>
      </c>
      <c r="F243" s="696" t="s">
        <v>357</v>
      </c>
      <c r="G243" s="738">
        <v>5</v>
      </c>
      <c r="H243" s="738">
        <v>1</v>
      </c>
      <c r="I243" s="696" t="s">
        <v>350</v>
      </c>
      <c r="J243" s="639" t="s">
        <v>348</v>
      </c>
      <c r="K243" s="639" t="s">
        <v>348</v>
      </c>
      <c r="L243" s="748" t="s">
        <v>380</v>
      </c>
      <c r="M243" s="746">
        <v>5</v>
      </c>
      <c r="N243" s="663" t="s">
        <v>503</v>
      </c>
      <c r="O243" s="742">
        <f>'[1]SPJ FUNGSIONAL '!O250</f>
        <v>0</v>
      </c>
      <c r="P243" s="644">
        <f t="shared" si="96"/>
        <v>0</v>
      </c>
      <c r="Q243" s="644">
        <f t="shared" si="96"/>
        <v>0</v>
      </c>
      <c r="R243" s="644">
        <f t="shared" si="85"/>
        <v>0</v>
      </c>
      <c r="S243" s="644">
        <f>'[1]SPJ FUNGSIONAL '!Y250</f>
        <v>0</v>
      </c>
      <c r="T243" s="644">
        <f>'[1]SPJ FUNGSIONAL '!Z250</f>
        <v>0</v>
      </c>
      <c r="U243" s="644">
        <f t="shared" si="86"/>
        <v>0</v>
      </c>
      <c r="V243" s="644">
        <f t="shared" si="81"/>
        <v>0</v>
      </c>
      <c r="W243" s="644">
        <f t="shared" si="83"/>
        <v>0</v>
      </c>
      <c r="X243" s="644">
        <f t="shared" si="92"/>
        <v>0</v>
      </c>
      <c r="Y243" s="646">
        <v>0</v>
      </c>
    </row>
    <row r="244" spans="1:25" s="588" customFormat="1" ht="39.75" customHeight="1">
      <c r="A244" s="728">
        <v>7</v>
      </c>
      <c r="B244" s="729" t="s">
        <v>348</v>
      </c>
      <c r="C244" s="729" t="s">
        <v>357</v>
      </c>
      <c r="D244" s="640">
        <v>2</v>
      </c>
      <c r="E244" s="696" t="s">
        <v>350</v>
      </c>
      <c r="F244" s="696" t="s">
        <v>357</v>
      </c>
      <c r="G244" s="738">
        <v>5</v>
      </c>
      <c r="H244" s="738">
        <v>1</v>
      </c>
      <c r="I244" s="696" t="s">
        <v>350</v>
      </c>
      <c r="J244" s="639" t="s">
        <v>348</v>
      </c>
      <c r="K244" s="639" t="s">
        <v>348</v>
      </c>
      <c r="L244" s="748" t="s">
        <v>380</v>
      </c>
      <c r="M244" s="746">
        <v>6</v>
      </c>
      <c r="N244" s="663" t="s">
        <v>504</v>
      </c>
      <c r="O244" s="742">
        <f>'[1]SPJ FUNGSIONAL '!O251</f>
        <v>6900000</v>
      </c>
      <c r="P244" s="644">
        <f t="shared" si="96"/>
        <v>3644500</v>
      </c>
      <c r="Q244" s="644">
        <f t="shared" si="96"/>
        <v>0</v>
      </c>
      <c r="R244" s="644">
        <f t="shared" si="85"/>
        <v>3644500</v>
      </c>
      <c r="S244" s="644">
        <f>'[1]SPJ FUNGSIONAL '!Y251</f>
        <v>3644500</v>
      </c>
      <c r="T244" s="644">
        <f>'[1]SPJ FUNGSIONAL '!Z251</f>
        <v>0</v>
      </c>
      <c r="U244" s="644">
        <f t="shared" si="86"/>
        <v>3644500</v>
      </c>
      <c r="V244" s="644">
        <f t="shared" si="81"/>
        <v>3255500</v>
      </c>
      <c r="W244" s="644">
        <f t="shared" si="83"/>
        <v>0</v>
      </c>
      <c r="X244" s="644">
        <f t="shared" si="92"/>
        <v>0</v>
      </c>
      <c r="Y244" s="646">
        <f t="shared" si="88"/>
        <v>0.52818840579710147</v>
      </c>
    </row>
    <row r="245" spans="1:25" s="588" customFormat="1" ht="39.75" customHeight="1">
      <c r="A245" s="728">
        <v>7</v>
      </c>
      <c r="B245" s="729" t="s">
        <v>348</v>
      </c>
      <c r="C245" s="729" t="s">
        <v>357</v>
      </c>
      <c r="D245" s="640">
        <v>2</v>
      </c>
      <c r="E245" s="696" t="s">
        <v>350</v>
      </c>
      <c r="F245" s="696" t="s">
        <v>357</v>
      </c>
      <c r="G245" s="738">
        <v>5</v>
      </c>
      <c r="H245" s="738">
        <v>1</v>
      </c>
      <c r="I245" s="696" t="s">
        <v>350</v>
      </c>
      <c r="J245" s="639" t="s">
        <v>348</v>
      </c>
      <c r="K245" s="639" t="s">
        <v>348</v>
      </c>
      <c r="L245" s="748" t="s">
        <v>393</v>
      </c>
      <c r="M245" s="746">
        <v>2</v>
      </c>
      <c r="N245" s="741" t="s">
        <v>492</v>
      </c>
      <c r="O245" s="742">
        <f>'[1]SPJ FUNGSIONAL '!O252</f>
        <v>47532000</v>
      </c>
      <c r="P245" s="644">
        <f>'[2]LRA SP2D'!$R$245</f>
        <v>19674050</v>
      </c>
      <c r="Q245" s="644">
        <v>4088700</v>
      </c>
      <c r="R245" s="644">
        <f t="shared" si="85"/>
        <v>23762750</v>
      </c>
      <c r="S245" s="644">
        <f>'[1]SPJ FUNGSIONAL '!Y252</f>
        <v>20335550</v>
      </c>
      <c r="T245" s="644">
        <f>'[1]SPJ FUNGSIONAL '!Z252</f>
        <v>10813350</v>
      </c>
      <c r="U245" s="644">
        <f t="shared" si="86"/>
        <v>31148900</v>
      </c>
      <c r="V245" s="644">
        <f t="shared" si="81"/>
        <v>16383100</v>
      </c>
      <c r="W245" s="644"/>
      <c r="X245" s="644">
        <f t="shared" si="92"/>
        <v>-7386150</v>
      </c>
      <c r="Y245" s="646">
        <f t="shared" si="88"/>
        <v>0.65532483379617945</v>
      </c>
    </row>
    <row r="246" spans="1:25" s="588" customFormat="1" ht="39.75" customHeight="1">
      <c r="A246" s="728">
        <v>7</v>
      </c>
      <c r="B246" s="729" t="s">
        <v>348</v>
      </c>
      <c r="C246" s="729" t="s">
        <v>357</v>
      </c>
      <c r="D246" s="640">
        <v>2</v>
      </c>
      <c r="E246" s="696" t="s">
        <v>350</v>
      </c>
      <c r="F246" s="696" t="s">
        <v>357</v>
      </c>
      <c r="G246" s="738">
        <v>5</v>
      </c>
      <c r="H246" s="738">
        <v>1</v>
      </c>
      <c r="I246" s="696" t="s">
        <v>350</v>
      </c>
      <c r="J246" s="639" t="s">
        <v>348</v>
      </c>
      <c r="K246" s="639" t="s">
        <v>348</v>
      </c>
      <c r="L246" s="748" t="s">
        <v>393</v>
      </c>
      <c r="M246" s="746">
        <v>8</v>
      </c>
      <c r="N246" s="741" t="s">
        <v>471</v>
      </c>
      <c r="O246" s="742">
        <f>'[1]SPJ FUNGSIONAL '!O253</f>
        <v>59598000</v>
      </c>
      <c r="P246" s="644">
        <f t="shared" si="96"/>
        <v>54426150</v>
      </c>
      <c r="Q246" s="644">
        <f t="shared" si="96"/>
        <v>0</v>
      </c>
      <c r="R246" s="644">
        <f t="shared" si="85"/>
        <v>54426150</v>
      </c>
      <c r="S246" s="644">
        <f>'[1]SPJ FUNGSIONAL '!Y253</f>
        <v>54426150</v>
      </c>
      <c r="T246" s="644">
        <f>'[1]SPJ FUNGSIONAL '!Z253</f>
        <v>0</v>
      </c>
      <c r="U246" s="644">
        <f t="shared" si="86"/>
        <v>54426150</v>
      </c>
      <c r="V246" s="644">
        <f t="shared" si="81"/>
        <v>5171850</v>
      </c>
      <c r="W246" s="644"/>
      <c r="X246" s="644">
        <f t="shared" si="92"/>
        <v>0</v>
      </c>
      <c r="Y246" s="646">
        <f t="shared" si="88"/>
        <v>0.9132210812443371</v>
      </c>
    </row>
    <row r="247" spans="1:25" s="588" customFormat="1" ht="39.75" customHeight="1">
      <c r="A247" s="728">
        <v>7</v>
      </c>
      <c r="B247" s="729" t="s">
        <v>348</v>
      </c>
      <c r="C247" s="729" t="s">
        <v>357</v>
      </c>
      <c r="D247" s="640">
        <v>2</v>
      </c>
      <c r="E247" s="696" t="s">
        <v>350</v>
      </c>
      <c r="F247" s="696" t="s">
        <v>357</v>
      </c>
      <c r="G247" s="738">
        <v>5</v>
      </c>
      <c r="H247" s="738">
        <v>1</v>
      </c>
      <c r="I247" s="696" t="s">
        <v>350</v>
      </c>
      <c r="J247" s="639" t="s">
        <v>348</v>
      </c>
      <c r="K247" s="639" t="s">
        <v>348</v>
      </c>
      <c r="L247" s="748" t="s">
        <v>472</v>
      </c>
      <c r="M247" s="746">
        <v>5</v>
      </c>
      <c r="N247" s="741" t="s">
        <v>505</v>
      </c>
      <c r="O247" s="742">
        <f>'[1]SPJ FUNGSIONAL '!O254</f>
        <v>9450000</v>
      </c>
      <c r="P247" s="644"/>
      <c r="Q247" s="644"/>
      <c r="R247" s="644">
        <f t="shared" si="85"/>
        <v>0</v>
      </c>
      <c r="S247" s="644">
        <f>'[1]SPJ FUNGSIONAL '!Y254</f>
        <v>0</v>
      </c>
      <c r="T247" s="644">
        <f>'[1]SPJ FUNGSIONAL '!Z254</f>
        <v>9450000</v>
      </c>
      <c r="U247" s="644">
        <f t="shared" si="86"/>
        <v>9450000</v>
      </c>
      <c r="V247" s="644">
        <f t="shared" si="81"/>
        <v>0</v>
      </c>
      <c r="W247" s="644"/>
      <c r="X247" s="644">
        <f t="shared" si="92"/>
        <v>-9450000</v>
      </c>
      <c r="Y247" s="646">
        <f t="shared" si="88"/>
        <v>1</v>
      </c>
    </row>
    <row r="248" spans="1:25" s="598" customFormat="1" ht="39.75" customHeight="1">
      <c r="A248" s="726">
        <v>7</v>
      </c>
      <c r="B248" s="727" t="s">
        <v>348</v>
      </c>
      <c r="C248" s="727" t="s">
        <v>357</v>
      </c>
      <c r="D248" s="624">
        <v>2</v>
      </c>
      <c r="E248" s="692" t="s">
        <v>350</v>
      </c>
      <c r="F248" s="692" t="s">
        <v>357</v>
      </c>
      <c r="G248" s="737">
        <v>5</v>
      </c>
      <c r="H248" s="737">
        <v>1</v>
      </c>
      <c r="I248" s="692" t="s">
        <v>350</v>
      </c>
      <c r="J248" s="637" t="s">
        <v>350</v>
      </c>
      <c r="K248" s="624"/>
      <c r="L248" s="624"/>
      <c r="M248" s="625"/>
      <c r="N248" s="668" t="s">
        <v>506</v>
      </c>
      <c r="O248" s="740">
        <f>O249+O254+O257</f>
        <v>220887376</v>
      </c>
      <c r="P248" s="740">
        <f>P249+P254+P257</f>
        <v>197350000</v>
      </c>
      <c r="Q248" s="740">
        <f t="shared" ref="Q248" si="97">Q249+Q254+Q257</f>
        <v>8270000</v>
      </c>
      <c r="R248" s="740">
        <f>SUM(P248:Q248)</f>
        <v>205620000</v>
      </c>
      <c r="S248" s="740">
        <f t="shared" ref="S248:T248" si="98">S249+S254+S257</f>
        <v>197350000</v>
      </c>
      <c r="T248" s="740">
        <f t="shared" si="98"/>
        <v>16270000</v>
      </c>
      <c r="U248" s="740">
        <f>SUM(S248:T248)</f>
        <v>213620000</v>
      </c>
      <c r="V248" s="740">
        <f>V249+V254+V257</f>
        <v>7267376</v>
      </c>
      <c r="W248" s="595"/>
      <c r="X248" s="595">
        <f>R248-U248</f>
        <v>-8000000</v>
      </c>
      <c r="Y248" s="597">
        <f t="shared" si="88"/>
        <v>0.96709917908572562</v>
      </c>
    </row>
    <row r="249" spans="1:25" s="598" customFormat="1" ht="39.75" customHeight="1">
      <c r="A249" s="726">
        <v>7</v>
      </c>
      <c r="B249" s="727" t="s">
        <v>348</v>
      </c>
      <c r="C249" s="727" t="s">
        <v>357</v>
      </c>
      <c r="D249" s="624">
        <v>2</v>
      </c>
      <c r="E249" s="692" t="s">
        <v>350</v>
      </c>
      <c r="F249" s="692" t="s">
        <v>357</v>
      </c>
      <c r="G249" s="737">
        <v>5</v>
      </c>
      <c r="H249" s="737">
        <v>1</v>
      </c>
      <c r="I249" s="692" t="s">
        <v>350</v>
      </c>
      <c r="J249" s="637" t="s">
        <v>350</v>
      </c>
      <c r="K249" s="637" t="s">
        <v>348</v>
      </c>
      <c r="L249" s="624"/>
      <c r="M249" s="625"/>
      <c r="N249" s="747" t="s">
        <v>392</v>
      </c>
      <c r="O249" s="740">
        <f>SUM(O250:O253)</f>
        <v>212440000</v>
      </c>
      <c r="P249" s="740">
        <f>SUM(P250:P253)</f>
        <v>189340000</v>
      </c>
      <c r="Q249" s="740">
        <f t="shared" ref="Q249:V249" si="99">SUM(Q250:Q253)</f>
        <v>8000000</v>
      </c>
      <c r="R249" s="740">
        <f>SUM(P249:Q249)</f>
        <v>197340000</v>
      </c>
      <c r="S249" s="740">
        <f>SUM(S250:S253)</f>
        <v>189340000</v>
      </c>
      <c r="T249" s="740">
        <f t="shared" si="99"/>
        <v>16000000</v>
      </c>
      <c r="U249" s="740">
        <f>SUM(S249:T249)</f>
        <v>205340000</v>
      </c>
      <c r="V249" s="740">
        <f t="shared" si="99"/>
        <v>7100000</v>
      </c>
      <c r="W249" s="595"/>
      <c r="X249" s="595">
        <f t="shared" si="92"/>
        <v>-8000000</v>
      </c>
      <c r="Y249" s="597">
        <f t="shared" si="88"/>
        <v>0.96657879871963848</v>
      </c>
    </row>
    <row r="250" spans="1:25" s="588" customFormat="1" ht="39.75" customHeight="1">
      <c r="A250" s="728">
        <v>7</v>
      </c>
      <c r="B250" s="729" t="s">
        <v>348</v>
      </c>
      <c r="C250" s="729" t="s">
        <v>357</v>
      </c>
      <c r="D250" s="640">
        <v>2</v>
      </c>
      <c r="E250" s="696" t="s">
        <v>350</v>
      </c>
      <c r="F250" s="696" t="s">
        <v>357</v>
      </c>
      <c r="G250" s="738">
        <v>5</v>
      </c>
      <c r="H250" s="738">
        <v>1</v>
      </c>
      <c r="I250" s="696" t="s">
        <v>350</v>
      </c>
      <c r="J250" s="639" t="s">
        <v>350</v>
      </c>
      <c r="K250" s="639" t="s">
        <v>348</v>
      </c>
      <c r="L250" s="639" t="s">
        <v>354</v>
      </c>
      <c r="M250" s="750">
        <v>3</v>
      </c>
      <c r="N250" s="741" t="s">
        <v>507</v>
      </c>
      <c r="O250" s="742">
        <f>'[1]SPJ FUNGSIONAL '!O257</f>
        <v>101750000</v>
      </c>
      <c r="P250" s="644">
        <f t="shared" ref="P250:Q251" si="100">S250</f>
        <v>100250000</v>
      </c>
      <c r="Q250" s="644">
        <f t="shared" si="100"/>
        <v>0</v>
      </c>
      <c r="R250" s="644">
        <f t="shared" si="85"/>
        <v>100250000</v>
      </c>
      <c r="S250" s="644">
        <f>'[1]SPJ FUNGSIONAL '!Y257</f>
        <v>100250000</v>
      </c>
      <c r="T250" s="644">
        <f>'[1]SPJ FUNGSIONAL '!Z257</f>
        <v>0</v>
      </c>
      <c r="U250" s="644">
        <f t="shared" si="86"/>
        <v>100250000</v>
      </c>
      <c r="V250" s="644">
        <f t="shared" si="81"/>
        <v>1500000</v>
      </c>
      <c r="W250" s="644"/>
      <c r="X250" s="644">
        <f t="shared" si="92"/>
        <v>0</v>
      </c>
      <c r="Y250" s="646">
        <f t="shared" si="88"/>
        <v>0.98525798525798525</v>
      </c>
    </row>
    <row r="251" spans="1:25" s="588" customFormat="1" ht="39.75" customHeight="1">
      <c r="A251" s="728">
        <v>7</v>
      </c>
      <c r="B251" s="729" t="s">
        <v>348</v>
      </c>
      <c r="C251" s="729" t="s">
        <v>357</v>
      </c>
      <c r="D251" s="640">
        <v>2</v>
      </c>
      <c r="E251" s="696" t="s">
        <v>350</v>
      </c>
      <c r="F251" s="696" t="s">
        <v>357</v>
      </c>
      <c r="G251" s="738">
        <v>5</v>
      </c>
      <c r="H251" s="738">
        <v>1</v>
      </c>
      <c r="I251" s="696" t="s">
        <v>350</v>
      </c>
      <c r="J251" s="639" t="s">
        <v>350</v>
      </c>
      <c r="K251" s="639" t="s">
        <v>348</v>
      </c>
      <c r="L251" s="639" t="s">
        <v>354</v>
      </c>
      <c r="M251" s="750">
        <v>4</v>
      </c>
      <c r="N251" s="741" t="str">
        <f>'[1]SPJ FUNGSIONAL '!N258</f>
        <v xml:space="preserve">Honoraraium Tim Pelaksana Kegiatan dan Sekretariat Tim Pelaksanan Kegiatan </v>
      </c>
      <c r="O251" s="742">
        <f>'[1]SPJ FUNGSIONAL '!O258</f>
        <v>440000</v>
      </c>
      <c r="P251" s="644">
        <f t="shared" si="100"/>
        <v>440000</v>
      </c>
      <c r="Q251" s="644">
        <f t="shared" si="100"/>
        <v>0</v>
      </c>
      <c r="R251" s="644">
        <f>SUM(P251:Q251)</f>
        <v>440000</v>
      </c>
      <c r="S251" s="644">
        <f>'[6]LRA SP2D'!$U$227</f>
        <v>440000</v>
      </c>
      <c r="T251" s="644">
        <f>'[1]SPJ FUNGSIONAL '!Z258</f>
        <v>0</v>
      </c>
      <c r="U251" s="644">
        <f>SUM(S251:T251)</f>
        <v>440000</v>
      </c>
      <c r="V251" s="644">
        <f t="shared" si="81"/>
        <v>0</v>
      </c>
      <c r="W251" s="644"/>
      <c r="X251" s="644"/>
      <c r="Y251" s="646">
        <f t="shared" si="88"/>
        <v>1</v>
      </c>
    </row>
    <row r="252" spans="1:25" s="588" customFormat="1" ht="39.75" customHeight="1">
      <c r="A252" s="728">
        <v>7</v>
      </c>
      <c r="B252" s="729" t="s">
        <v>348</v>
      </c>
      <c r="C252" s="729" t="s">
        <v>357</v>
      </c>
      <c r="D252" s="640">
        <v>2</v>
      </c>
      <c r="E252" s="696" t="s">
        <v>350</v>
      </c>
      <c r="F252" s="696" t="s">
        <v>357</v>
      </c>
      <c r="G252" s="738">
        <v>5</v>
      </c>
      <c r="H252" s="738">
        <v>1</v>
      </c>
      <c r="I252" s="696" t="s">
        <v>350</v>
      </c>
      <c r="J252" s="639" t="s">
        <v>350</v>
      </c>
      <c r="K252" s="639" t="s">
        <v>348</v>
      </c>
      <c r="L252" s="639" t="s">
        <v>354</v>
      </c>
      <c r="M252" s="750" t="s">
        <v>429</v>
      </c>
      <c r="N252" s="741" t="s">
        <v>476</v>
      </c>
      <c r="O252" s="742">
        <f>'[1]SPJ FUNGSIONAL '!O259</f>
        <v>96000000</v>
      </c>
      <c r="P252" s="644">
        <f>'[2]LRA SP2D'!$R$252</f>
        <v>74400000</v>
      </c>
      <c r="Q252" s="644">
        <v>8000000</v>
      </c>
      <c r="R252" s="644">
        <f t="shared" si="85"/>
        <v>82400000</v>
      </c>
      <c r="S252" s="644">
        <f>'[1]SPJ FUNGSIONAL '!Y259</f>
        <v>74400000</v>
      </c>
      <c r="T252" s="644">
        <f>'[1]SPJ FUNGSIONAL '!Z259</f>
        <v>16000000</v>
      </c>
      <c r="U252" s="644">
        <f t="shared" si="86"/>
        <v>90400000</v>
      </c>
      <c r="V252" s="644">
        <f t="shared" si="81"/>
        <v>5600000</v>
      </c>
      <c r="W252" s="644"/>
      <c r="X252" s="644">
        <f t="shared" si="92"/>
        <v>-8000000</v>
      </c>
      <c r="Y252" s="646">
        <f t="shared" si="88"/>
        <v>0.94166666666666665</v>
      </c>
    </row>
    <row r="253" spans="1:25" s="588" customFormat="1" ht="39.75" customHeight="1">
      <c r="A253" s="728">
        <v>7</v>
      </c>
      <c r="B253" s="729" t="s">
        <v>348</v>
      </c>
      <c r="C253" s="729" t="s">
        <v>357</v>
      </c>
      <c r="D253" s="640">
        <v>2</v>
      </c>
      <c r="E253" s="696" t="s">
        <v>350</v>
      </c>
      <c r="F253" s="696" t="s">
        <v>357</v>
      </c>
      <c r="G253" s="738">
        <v>5</v>
      </c>
      <c r="H253" s="738">
        <v>1</v>
      </c>
      <c r="I253" s="696" t="s">
        <v>350</v>
      </c>
      <c r="J253" s="639" t="s">
        <v>350</v>
      </c>
      <c r="K253" s="639" t="s">
        <v>348</v>
      </c>
      <c r="L253" s="639" t="s">
        <v>380</v>
      </c>
      <c r="M253" s="641">
        <v>7</v>
      </c>
      <c r="N253" s="741" t="s">
        <v>478</v>
      </c>
      <c r="O253" s="742">
        <f>'[1]SPJ FUNGSIONAL '!O260</f>
        <v>14250000</v>
      </c>
      <c r="P253" s="644">
        <f>S253</f>
        <v>14250000</v>
      </c>
      <c r="Q253" s="644">
        <f t="shared" ref="Q253" si="101">T253</f>
        <v>0</v>
      </c>
      <c r="R253" s="644">
        <f t="shared" si="85"/>
        <v>14250000</v>
      </c>
      <c r="S253" s="644">
        <f>'[1]SPJ FUNGSIONAL '!Y260</f>
        <v>14250000</v>
      </c>
      <c r="T253" s="644">
        <f>'[1]SPJ FUNGSIONAL '!Z260</f>
        <v>0</v>
      </c>
      <c r="U253" s="644">
        <f t="shared" si="86"/>
        <v>14250000</v>
      </c>
      <c r="V253" s="644">
        <f t="shared" si="81"/>
        <v>0</v>
      </c>
      <c r="W253" s="644"/>
      <c r="X253" s="644">
        <f t="shared" si="92"/>
        <v>0</v>
      </c>
      <c r="Y253" s="646">
        <f t="shared" si="88"/>
        <v>1</v>
      </c>
    </row>
    <row r="254" spans="1:25" s="598" customFormat="1" ht="39.75" customHeight="1">
      <c r="A254" s="726">
        <v>7</v>
      </c>
      <c r="B254" s="727" t="s">
        <v>348</v>
      </c>
      <c r="C254" s="727" t="s">
        <v>357</v>
      </c>
      <c r="D254" s="624">
        <v>2</v>
      </c>
      <c r="E254" s="692" t="s">
        <v>350</v>
      </c>
      <c r="F254" s="692" t="s">
        <v>357</v>
      </c>
      <c r="G254" s="737">
        <v>5</v>
      </c>
      <c r="H254" s="737">
        <v>1</v>
      </c>
      <c r="I254" s="692" t="s">
        <v>350</v>
      </c>
      <c r="J254" s="637" t="s">
        <v>350</v>
      </c>
      <c r="K254" s="637" t="s">
        <v>348</v>
      </c>
      <c r="L254" s="637"/>
      <c r="M254" s="751"/>
      <c r="N254" s="747" t="str">
        <f>'[1]SPJ FUNGSIONAL '!N261</f>
        <v xml:space="preserve">Belanja Iuran Jaminan/Asuransi </v>
      </c>
      <c r="O254" s="740">
        <f>O255+O256</f>
        <v>3047376</v>
      </c>
      <c r="P254" s="740">
        <f t="shared" ref="P254:T254" si="102">P255+P256</f>
        <v>2610000</v>
      </c>
      <c r="Q254" s="740">
        <f t="shared" si="102"/>
        <v>270000</v>
      </c>
      <c r="R254" s="740">
        <f t="shared" si="102"/>
        <v>2880000</v>
      </c>
      <c r="S254" s="740">
        <f t="shared" si="102"/>
        <v>2610000</v>
      </c>
      <c r="T254" s="740">
        <f t="shared" si="102"/>
        <v>270000</v>
      </c>
      <c r="U254" s="595">
        <f>SUM(S254:T254)</f>
        <v>2880000</v>
      </c>
      <c r="V254" s="595">
        <f t="shared" si="81"/>
        <v>167376</v>
      </c>
      <c r="W254" s="595"/>
      <c r="X254" s="595">
        <f t="shared" si="92"/>
        <v>0</v>
      </c>
      <c r="Y254" s="597">
        <f t="shared" si="88"/>
        <v>0.94507536976073847</v>
      </c>
    </row>
    <row r="255" spans="1:25" s="588" customFormat="1" ht="39.75" customHeight="1">
      <c r="A255" s="728">
        <v>7</v>
      </c>
      <c r="B255" s="729" t="s">
        <v>348</v>
      </c>
      <c r="C255" s="729" t="s">
        <v>357</v>
      </c>
      <c r="D255" s="640">
        <v>2</v>
      </c>
      <c r="E255" s="696" t="s">
        <v>350</v>
      </c>
      <c r="F255" s="696" t="s">
        <v>357</v>
      </c>
      <c r="G255" s="738">
        <v>5</v>
      </c>
      <c r="H255" s="738">
        <v>1</v>
      </c>
      <c r="I255" s="696" t="s">
        <v>350</v>
      </c>
      <c r="J255" s="639" t="s">
        <v>350</v>
      </c>
      <c r="K255" s="639" t="s">
        <v>348</v>
      </c>
      <c r="L255" s="639" t="s">
        <v>354</v>
      </c>
      <c r="M255" s="750" t="s">
        <v>429</v>
      </c>
      <c r="N255" s="741" t="str">
        <f>'[1]SPJ FUNGSIONAL '!N262</f>
        <v xml:space="preserve">Belanja Iuran Jaminan Kecelakaan Kerja Bagi Non PNS </v>
      </c>
      <c r="O255" s="742">
        <f>'[1]SPJ FUNGSIONAL '!O262</f>
        <v>1380576</v>
      </c>
      <c r="P255" s="742">
        <f>'[2]LRA SP2D'!$R$255</f>
        <v>1159884</v>
      </c>
      <c r="Q255" s="742">
        <v>119988</v>
      </c>
      <c r="R255" s="644">
        <f>SUM(P255:Q255)</f>
        <v>1279872</v>
      </c>
      <c r="S255" s="644">
        <f>'[1]SPJ FUNGSIONAL '!Y262</f>
        <v>1159884</v>
      </c>
      <c r="T255" s="742">
        <f>'[1]SPJ FUNGSIONAL '!Z262</f>
        <v>119988</v>
      </c>
      <c r="U255" s="644">
        <f>SUM(S255:T255)</f>
        <v>1279872</v>
      </c>
      <c r="V255" s="644">
        <f t="shared" si="81"/>
        <v>100704</v>
      </c>
      <c r="W255" s="644"/>
      <c r="X255" s="644">
        <f t="shared" si="92"/>
        <v>0</v>
      </c>
      <c r="Y255" s="646">
        <f t="shared" si="88"/>
        <v>0.9270565329253877</v>
      </c>
    </row>
    <row r="256" spans="1:25" s="588" customFormat="1" ht="39.75" customHeight="1">
      <c r="A256" s="728">
        <v>7</v>
      </c>
      <c r="B256" s="729" t="s">
        <v>348</v>
      </c>
      <c r="C256" s="729" t="s">
        <v>357</v>
      </c>
      <c r="D256" s="640">
        <v>2</v>
      </c>
      <c r="E256" s="696" t="s">
        <v>350</v>
      </c>
      <c r="F256" s="696" t="s">
        <v>357</v>
      </c>
      <c r="G256" s="738">
        <v>5</v>
      </c>
      <c r="H256" s="738">
        <v>1</v>
      </c>
      <c r="I256" s="696" t="s">
        <v>350</v>
      </c>
      <c r="J256" s="639" t="s">
        <v>350</v>
      </c>
      <c r="K256" s="639" t="s">
        <v>348</v>
      </c>
      <c r="L256" s="639" t="s">
        <v>354</v>
      </c>
      <c r="M256" s="750">
        <v>7</v>
      </c>
      <c r="N256" s="741" t="str">
        <f>'[1]SPJ FUNGSIONAL '!N263</f>
        <v xml:space="preserve">Belanja Iuran Jaminan Kematian Bagi Non PNS </v>
      </c>
      <c r="O256" s="742">
        <f>'[1]SPJ FUNGSIONAL '!O263</f>
        <v>1666800</v>
      </c>
      <c r="P256" s="742">
        <f>'[2]LRA SP2D'!$R$256</f>
        <v>1450116</v>
      </c>
      <c r="Q256" s="742">
        <v>150012</v>
      </c>
      <c r="R256" s="644">
        <f>SUM(P256:Q256)</f>
        <v>1600128</v>
      </c>
      <c r="S256" s="644">
        <f>'[1]SPJ FUNGSIONAL '!Y263</f>
        <v>1450116</v>
      </c>
      <c r="T256" s="742">
        <f>'[1]SPJ FUNGSIONAL '!Z263</f>
        <v>150012</v>
      </c>
      <c r="U256" s="644">
        <f>SUM(S256:T256)</f>
        <v>1600128</v>
      </c>
      <c r="V256" s="644">
        <f t="shared" si="81"/>
        <v>66672</v>
      </c>
      <c r="W256" s="644"/>
      <c r="X256" s="644">
        <f t="shared" si="92"/>
        <v>0</v>
      </c>
      <c r="Y256" s="646">
        <f t="shared" si="88"/>
        <v>0.96</v>
      </c>
    </row>
    <row r="257" spans="1:25" s="598" customFormat="1" ht="39.75" customHeight="1">
      <c r="A257" s="726">
        <v>7</v>
      </c>
      <c r="B257" s="727" t="s">
        <v>348</v>
      </c>
      <c r="C257" s="727" t="s">
        <v>357</v>
      </c>
      <c r="D257" s="624">
        <v>2</v>
      </c>
      <c r="E257" s="692" t="s">
        <v>350</v>
      </c>
      <c r="F257" s="692" t="s">
        <v>357</v>
      </c>
      <c r="G257" s="737">
        <v>5</v>
      </c>
      <c r="H257" s="737">
        <v>1</v>
      </c>
      <c r="I257" s="692" t="s">
        <v>350</v>
      </c>
      <c r="J257" s="637" t="s">
        <v>350</v>
      </c>
      <c r="K257" s="637" t="s">
        <v>382</v>
      </c>
      <c r="L257" s="637"/>
      <c r="M257" s="751"/>
      <c r="N257" s="747" t="str">
        <f>'[1]SPJ FUNGSIONAL '!N264</f>
        <v xml:space="preserve">Belanja Sewa Peralatan dan Mesin </v>
      </c>
      <c r="O257" s="740">
        <f>O258</f>
        <v>5400000</v>
      </c>
      <c r="P257" s="740">
        <f t="shared" ref="P257:Q257" si="103">P258</f>
        <v>5400000</v>
      </c>
      <c r="Q257" s="740">
        <f t="shared" si="103"/>
        <v>0</v>
      </c>
      <c r="R257" s="595">
        <f>SUM(P257:Q257)</f>
        <v>5400000</v>
      </c>
      <c r="S257" s="740">
        <f t="shared" ref="S257:T257" si="104">S258</f>
        <v>5400000</v>
      </c>
      <c r="T257" s="740">
        <f t="shared" si="104"/>
        <v>0</v>
      </c>
      <c r="U257" s="595">
        <f>SUM(S257:T257)</f>
        <v>5400000</v>
      </c>
      <c r="V257" s="595">
        <f t="shared" si="81"/>
        <v>0</v>
      </c>
      <c r="W257" s="595"/>
      <c r="X257" s="595">
        <f t="shared" si="92"/>
        <v>0</v>
      </c>
      <c r="Y257" s="597">
        <f t="shared" si="88"/>
        <v>1</v>
      </c>
    </row>
    <row r="258" spans="1:25" s="588" customFormat="1" ht="39.75" customHeight="1">
      <c r="A258" s="728">
        <v>7</v>
      </c>
      <c r="B258" s="729" t="s">
        <v>348</v>
      </c>
      <c r="C258" s="729" t="s">
        <v>357</v>
      </c>
      <c r="D258" s="640">
        <v>2</v>
      </c>
      <c r="E258" s="696" t="s">
        <v>350</v>
      </c>
      <c r="F258" s="696" t="s">
        <v>357</v>
      </c>
      <c r="G258" s="738">
        <v>5</v>
      </c>
      <c r="H258" s="738">
        <v>1</v>
      </c>
      <c r="I258" s="696" t="s">
        <v>350</v>
      </c>
      <c r="J258" s="639" t="s">
        <v>350</v>
      </c>
      <c r="K258" s="639" t="s">
        <v>382</v>
      </c>
      <c r="L258" s="639" t="s">
        <v>380</v>
      </c>
      <c r="M258" s="750">
        <v>6</v>
      </c>
      <c r="N258" s="741" t="str">
        <f>'[1]SPJ FUNGSIONAL '!N265</f>
        <v xml:space="preserve">Belanja Sewa Kendaraan Bemotor Penumpang </v>
      </c>
      <c r="O258" s="742">
        <f>'[1]SPJ FUNGSIONAL '!O265</f>
        <v>5400000</v>
      </c>
      <c r="P258" s="742">
        <f>'[7]LRA SP2D'!$R$234</f>
        <v>5400000</v>
      </c>
      <c r="Q258" s="742">
        <f>T258</f>
        <v>0</v>
      </c>
      <c r="R258" s="644">
        <f>SUM(P258:Q258)</f>
        <v>5400000</v>
      </c>
      <c r="S258" s="644">
        <f>'[1]SPJ FUNGSIONAL '!Y265</f>
        <v>5400000</v>
      </c>
      <c r="T258" s="742">
        <f>'[1]SPJ FUNGSIONAL '!Z265</f>
        <v>0</v>
      </c>
      <c r="U258" s="644">
        <f>SUM(S258:T258)</f>
        <v>5400000</v>
      </c>
      <c r="V258" s="644">
        <f t="shared" si="81"/>
        <v>0</v>
      </c>
      <c r="W258" s="644"/>
      <c r="X258" s="644">
        <f t="shared" si="92"/>
        <v>0</v>
      </c>
      <c r="Y258" s="646">
        <f t="shared" si="88"/>
        <v>1</v>
      </c>
    </row>
    <row r="259" spans="1:25" s="588" customFormat="1" ht="39.75" customHeight="1">
      <c r="A259" s="726">
        <v>7</v>
      </c>
      <c r="B259" s="727" t="s">
        <v>348</v>
      </c>
      <c r="C259" s="727" t="s">
        <v>357</v>
      </c>
      <c r="D259" s="624">
        <v>2</v>
      </c>
      <c r="E259" s="637" t="s">
        <v>350</v>
      </c>
      <c r="F259" s="637" t="s">
        <v>357</v>
      </c>
      <c r="G259" s="624">
        <v>5</v>
      </c>
      <c r="H259" s="624">
        <v>1</v>
      </c>
      <c r="I259" s="637" t="s">
        <v>350</v>
      </c>
      <c r="J259" s="637" t="s">
        <v>382</v>
      </c>
      <c r="K259" s="624"/>
      <c r="L259" s="640"/>
      <c r="M259" s="641"/>
      <c r="N259" s="747" t="s">
        <v>400</v>
      </c>
      <c r="O259" s="740">
        <f>O260</f>
        <v>80130000</v>
      </c>
      <c r="P259" s="740">
        <f>P260</f>
        <v>41550000</v>
      </c>
      <c r="Q259" s="740">
        <f>Q260</f>
        <v>21010000</v>
      </c>
      <c r="R259" s="595">
        <f t="shared" si="85"/>
        <v>62560000</v>
      </c>
      <c r="S259" s="595">
        <f>'[1]SPJ FUNGSIONAL '!Y266</f>
        <v>60810000</v>
      </c>
      <c r="T259" s="740">
        <f>T260</f>
        <v>3750000</v>
      </c>
      <c r="U259" s="595">
        <f t="shared" si="86"/>
        <v>64560000</v>
      </c>
      <c r="V259" s="595">
        <f t="shared" si="81"/>
        <v>15570000</v>
      </c>
      <c r="W259" s="595"/>
      <c r="X259" s="595">
        <f t="shared" si="92"/>
        <v>-2000000</v>
      </c>
      <c r="Y259" s="646">
        <f t="shared" si="88"/>
        <v>0.80569075252714339</v>
      </c>
    </row>
    <row r="260" spans="1:25" s="588" customFormat="1" ht="39.75" customHeight="1">
      <c r="A260" s="726">
        <v>7</v>
      </c>
      <c r="B260" s="727" t="s">
        <v>348</v>
      </c>
      <c r="C260" s="727" t="s">
        <v>357</v>
      </c>
      <c r="D260" s="624">
        <v>2</v>
      </c>
      <c r="E260" s="637" t="s">
        <v>350</v>
      </c>
      <c r="F260" s="637" t="s">
        <v>357</v>
      </c>
      <c r="G260" s="624">
        <v>5</v>
      </c>
      <c r="H260" s="624">
        <v>1</v>
      </c>
      <c r="I260" s="637" t="s">
        <v>350</v>
      </c>
      <c r="J260" s="637" t="s">
        <v>382</v>
      </c>
      <c r="K260" s="637" t="s">
        <v>348</v>
      </c>
      <c r="L260" s="640"/>
      <c r="M260" s="641"/>
      <c r="N260" s="747" t="s">
        <v>401</v>
      </c>
      <c r="O260" s="740">
        <f>SUM(O261:O262)</f>
        <v>80130000</v>
      </c>
      <c r="P260" s="740">
        <f>SUM(P261:P262)</f>
        <v>41550000</v>
      </c>
      <c r="Q260" s="740">
        <f>SUM(Q261:Q262)</f>
        <v>21010000</v>
      </c>
      <c r="R260" s="595">
        <f t="shared" si="85"/>
        <v>62560000</v>
      </c>
      <c r="S260" s="595">
        <f>'[1]SPJ FUNGSIONAL '!Y267</f>
        <v>60810000</v>
      </c>
      <c r="T260" s="740">
        <f>SUM(T261:T262)</f>
        <v>3750000</v>
      </c>
      <c r="U260" s="595">
        <f t="shared" si="86"/>
        <v>64560000</v>
      </c>
      <c r="V260" s="595">
        <f t="shared" si="81"/>
        <v>15570000</v>
      </c>
      <c r="W260" s="595"/>
      <c r="X260" s="595">
        <f t="shared" si="92"/>
        <v>-2000000</v>
      </c>
      <c r="Y260" s="646">
        <f t="shared" si="88"/>
        <v>0.80569075252714339</v>
      </c>
    </row>
    <row r="261" spans="1:25" s="588" customFormat="1" ht="39.75" customHeight="1">
      <c r="A261" s="728">
        <v>7</v>
      </c>
      <c r="B261" s="729" t="s">
        <v>348</v>
      </c>
      <c r="C261" s="729" t="s">
        <v>357</v>
      </c>
      <c r="D261" s="640">
        <v>2</v>
      </c>
      <c r="E261" s="639" t="s">
        <v>350</v>
      </c>
      <c r="F261" s="639" t="s">
        <v>357</v>
      </c>
      <c r="G261" s="640">
        <v>5</v>
      </c>
      <c r="H261" s="640">
        <v>1</v>
      </c>
      <c r="I261" s="639" t="s">
        <v>350</v>
      </c>
      <c r="J261" s="639" t="s">
        <v>382</v>
      </c>
      <c r="K261" s="639" t="s">
        <v>348</v>
      </c>
      <c r="L261" s="639" t="s">
        <v>354</v>
      </c>
      <c r="M261" s="750" t="s">
        <v>336</v>
      </c>
      <c r="N261" s="741" t="str">
        <f>'[1]SPJ FUNGSIONAL '!N268</f>
        <v>Belanja Perjalanan Dinas Biasa</v>
      </c>
      <c r="O261" s="742">
        <f>'[1]SPJ FUNGSIONAL '!O268</f>
        <v>21380000</v>
      </c>
      <c r="P261" s="644"/>
      <c r="Q261" s="644">
        <v>18860000</v>
      </c>
      <c r="R261" s="644">
        <f t="shared" si="85"/>
        <v>18860000</v>
      </c>
      <c r="S261" s="644">
        <f>'[1]SPJ FUNGSIONAL '!Y268</f>
        <v>18860000</v>
      </c>
      <c r="T261" s="644">
        <f>'[1]SPJ FUNGSIONAL '!Z268</f>
        <v>0</v>
      </c>
      <c r="U261" s="644">
        <f t="shared" si="86"/>
        <v>18860000</v>
      </c>
      <c r="V261" s="644">
        <f t="shared" si="81"/>
        <v>2520000</v>
      </c>
      <c r="W261" s="644"/>
      <c r="X261" s="644">
        <f t="shared" si="92"/>
        <v>0</v>
      </c>
      <c r="Y261" s="646">
        <f t="shared" si="88"/>
        <v>0.88213283442469603</v>
      </c>
    </row>
    <row r="262" spans="1:25" s="588" customFormat="1" ht="39.75" customHeight="1">
      <c r="A262" s="728">
        <v>7</v>
      </c>
      <c r="B262" s="729" t="s">
        <v>348</v>
      </c>
      <c r="C262" s="729" t="s">
        <v>357</v>
      </c>
      <c r="D262" s="640">
        <v>2</v>
      </c>
      <c r="E262" s="639" t="s">
        <v>350</v>
      </c>
      <c r="F262" s="639" t="s">
        <v>357</v>
      </c>
      <c r="G262" s="640">
        <v>5</v>
      </c>
      <c r="H262" s="640">
        <v>1</v>
      </c>
      <c r="I262" s="639" t="s">
        <v>350</v>
      </c>
      <c r="J262" s="639" t="s">
        <v>382</v>
      </c>
      <c r="K262" s="639" t="s">
        <v>348</v>
      </c>
      <c r="L262" s="639" t="s">
        <v>354</v>
      </c>
      <c r="M262" s="641">
        <v>3</v>
      </c>
      <c r="N262" s="741" t="str">
        <f>'[1]SPJ FUNGSIONAL '!N269</f>
        <v>Belanja Perjalanan Dinas Dalam Kota</v>
      </c>
      <c r="O262" s="742">
        <f>'[1]SPJ FUNGSIONAL '!O269</f>
        <v>58750000</v>
      </c>
      <c r="P262" s="644">
        <f>'[2]LRA SP2D'!$R$262</f>
        <v>41550000</v>
      </c>
      <c r="Q262" s="644">
        <v>2150000</v>
      </c>
      <c r="R262" s="644">
        <f t="shared" si="85"/>
        <v>43700000</v>
      </c>
      <c r="S262" s="644">
        <f>'[1]SPJ FUNGSIONAL '!Y269</f>
        <v>41950000</v>
      </c>
      <c r="T262" s="644">
        <f>'[1]SPJ FUNGSIONAL '!Z269</f>
        <v>3750000</v>
      </c>
      <c r="U262" s="644">
        <f t="shared" si="86"/>
        <v>45700000</v>
      </c>
      <c r="V262" s="644">
        <f t="shared" si="81"/>
        <v>13050000</v>
      </c>
      <c r="W262" s="644"/>
      <c r="X262" s="644">
        <f t="shared" si="92"/>
        <v>-2000000</v>
      </c>
      <c r="Y262" s="646">
        <f t="shared" si="88"/>
        <v>0.77787234042553188</v>
      </c>
    </row>
    <row r="263" spans="1:25" s="588" customFormat="1" ht="48" customHeight="1">
      <c r="A263" s="726">
        <v>7</v>
      </c>
      <c r="B263" s="727" t="s">
        <v>348</v>
      </c>
      <c r="C263" s="727" t="s">
        <v>357</v>
      </c>
      <c r="D263" s="624">
        <v>2</v>
      </c>
      <c r="E263" s="637" t="s">
        <v>350</v>
      </c>
      <c r="F263" s="637" t="s">
        <v>357</v>
      </c>
      <c r="G263" s="624">
        <v>5</v>
      </c>
      <c r="H263" s="624">
        <v>1</v>
      </c>
      <c r="I263" s="637" t="s">
        <v>350</v>
      </c>
      <c r="J263" s="637" t="s">
        <v>359</v>
      </c>
      <c r="K263" s="624"/>
      <c r="L263" s="640"/>
      <c r="M263" s="641"/>
      <c r="N263" s="747" t="s">
        <v>484</v>
      </c>
      <c r="O263" s="740">
        <f>O264</f>
        <v>3100000</v>
      </c>
      <c r="P263" s="740">
        <f t="shared" ref="P263:Q263" si="105">P264</f>
        <v>3100000</v>
      </c>
      <c r="Q263" s="740">
        <f t="shared" si="105"/>
        <v>0</v>
      </c>
      <c r="R263" s="595">
        <f t="shared" si="85"/>
        <v>3100000</v>
      </c>
      <c r="S263" s="740">
        <f t="shared" ref="S263:T264" si="106">S264</f>
        <v>3100000</v>
      </c>
      <c r="T263" s="740">
        <f t="shared" si="106"/>
        <v>0</v>
      </c>
      <c r="U263" s="595">
        <f t="shared" si="86"/>
        <v>3100000</v>
      </c>
      <c r="V263" s="595">
        <f t="shared" si="81"/>
        <v>0</v>
      </c>
      <c r="W263" s="595"/>
      <c r="X263" s="595">
        <f t="shared" si="92"/>
        <v>0</v>
      </c>
      <c r="Y263" s="597">
        <f t="shared" si="88"/>
        <v>1</v>
      </c>
    </row>
    <row r="264" spans="1:25" s="588" customFormat="1" ht="46.5" customHeight="1">
      <c r="A264" s="726">
        <v>7</v>
      </c>
      <c r="B264" s="727" t="s">
        <v>348</v>
      </c>
      <c r="C264" s="727" t="s">
        <v>357</v>
      </c>
      <c r="D264" s="624">
        <v>2</v>
      </c>
      <c r="E264" s="637" t="s">
        <v>350</v>
      </c>
      <c r="F264" s="637" t="s">
        <v>357</v>
      </c>
      <c r="G264" s="624">
        <v>5</v>
      </c>
      <c r="H264" s="624">
        <v>1</v>
      </c>
      <c r="I264" s="637" t="s">
        <v>350</v>
      </c>
      <c r="J264" s="637" t="s">
        <v>359</v>
      </c>
      <c r="K264" s="637" t="s">
        <v>348</v>
      </c>
      <c r="L264" s="640"/>
      <c r="M264" s="641"/>
      <c r="N264" s="747" t="s">
        <v>485</v>
      </c>
      <c r="O264" s="742">
        <f>O265</f>
        <v>3100000</v>
      </c>
      <c r="P264" s="644">
        <f>P265</f>
        <v>3100000</v>
      </c>
      <c r="Q264" s="644">
        <f>Q265</f>
        <v>0</v>
      </c>
      <c r="R264" s="644">
        <f t="shared" si="85"/>
        <v>3100000</v>
      </c>
      <c r="S264" s="742">
        <f t="shared" si="106"/>
        <v>3100000</v>
      </c>
      <c r="T264" s="742">
        <f t="shared" si="106"/>
        <v>0</v>
      </c>
      <c r="U264" s="644">
        <f t="shared" si="86"/>
        <v>3100000</v>
      </c>
      <c r="V264" s="644">
        <f t="shared" si="81"/>
        <v>0</v>
      </c>
      <c r="W264" s="644"/>
      <c r="X264" s="644">
        <f t="shared" si="92"/>
        <v>0</v>
      </c>
      <c r="Y264" s="646">
        <f t="shared" si="88"/>
        <v>1</v>
      </c>
    </row>
    <row r="265" spans="1:25" s="588" customFormat="1" ht="39.75" customHeight="1">
      <c r="A265" s="728">
        <v>7</v>
      </c>
      <c r="B265" s="729" t="s">
        <v>348</v>
      </c>
      <c r="C265" s="729" t="s">
        <v>357</v>
      </c>
      <c r="D265" s="640">
        <v>2</v>
      </c>
      <c r="E265" s="639" t="s">
        <v>350</v>
      </c>
      <c r="F265" s="639" t="s">
        <v>357</v>
      </c>
      <c r="G265" s="640">
        <v>5</v>
      </c>
      <c r="H265" s="640">
        <v>1</v>
      </c>
      <c r="I265" s="639" t="s">
        <v>350</v>
      </c>
      <c r="J265" s="639" t="s">
        <v>359</v>
      </c>
      <c r="K265" s="639" t="s">
        <v>348</v>
      </c>
      <c r="L265" s="639" t="s">
        <v>354</v>
      </c>
      <c r="M265" s="641">
        <v>1</v>
      </c>
      <c r="N265" s="741" t="str">
        <f>'[1]SPJ FUNGSIONAL '!N272</f>
        <v>Belanja Hadiah yang Bersifat Perlombaan</v>
      </c>
      <c r="O265" s="742">
        <f>'[1]SPJ FUNGSIONAL '!O272</f>
        <v>3100000</v>
      </c>
      <c r="P265" s="644">
        <f>S265</f>
        <v>3100000</v>
      </c>
      <c r="Q265" s="644">
        <f>T265</f>
        <v>0</v>
      </c>
      <c r="R265" s="644">
        <f t="shared" si="85"/>
        <v>3100000</v>
      </c>
      <c r="S265" s="644">
        <f>'[1]SPJ FUNGSIONAL '!Y272</f>
        <v>3100000</v>
      </c>
      <c r="T265" s="644">
        <f>'[1]SPJ FUNGSIONAL '!Z272</f>
        <v>0</v>
      </c>
      <c r="U265" s="644">
        <f t="shared" si="86"/>
        <v>3100000</v>
      </c>
      <c r="V265" s="644">
        <f t="shared" si="81"/>
        <v>0</v>
      </c>
      <c r="W265" s="644"/>
      <c r="X265" s="644">
        <f t="shared" si="92"/>
        <v>0</v>
      </c>
      <c r="Y265" s="646">
        <f t="shared" si="88"/>
        <v>1</v>
      </c>
    </row>
    <row r="266" spans="1:25" s="588" customFormat="1" ht="25" customHeight="1">
      <c r="A266" s="609"/>
      <c r="B266" s="610"/>
      <c r="C266" s="610"/>
      <c r="D266" s="752"/>
      <c r="E266" s="752"/>
      <c r="F266" s="752"/>
      <c r="G266" s="752"/>
      <c r="H266" s="752"/>
      <c r="I266" s="752"/>
      <c r="J266" s="752"/>
      <c r="K266" s="752"/>
      <c r="L266" s="753"/>
      <c r="M266" s="754"/>
      <c r="N266" s="747"/>
      <c r="O266" s="742"/>
      <c r="P266" s="644"/>
      <c r="Q266" s="644"/>
      <c r="R266" s="644">
        <f t="shared" si="85"/>
        <v>0</v>
      </c>
      <c r="S266" s="644"/>
      <c r="T266" s="644"/>
      <c r="U266" s="644">
        <f t="shared" si="86"/>
        <v>0</v>
      </c>
      <c r="V266" s="644">
        <f t="shared" si="81"/>
        <v>0</v>
      </c>
      <c r="W266" s="644">
        <f t="shared" ref="W266" si="107">R266-U266</f>
        <v>0</v>
      </c>
      <c r="X266" s="644">
        <f t="shared" si="92"/>
        <v>0</v>
      </c>
      <c r="Y266" s="646"/>
    </row>
    <row r="267" spans="1:25" s="588" customFormat="1" ht="43.5" customHeight="1">
      <c r="A267" s="714">
        <v>7</v>
      </c>
      <c r="B267" s="715" t="s">
        <v>348</v>
      </c>
      <c r="C267" s="715" t="s">
        <v>357</v>
      </c>
      <c r="D267" s="715" t="s">
        <v>397</v>
      </c>
      <c r="E267" s="715" t="s">
        <v>357</v>
      </c>
      <c r="F267" s="716"/>
      <c r="G267" s="716"/>
      <c r="H267" s="716"/>
      <c r="I267" s="716"/>
      <c r="J267" s="716"/>
      <c r="K267" s="716"/>
      <c r="L267" s="716"/>
      <c r="M267" s="730"/>
      <c r="N267" s="618" t="s">
        <v>513</v>
      </c>
      <c r="O267" s="736">
        <f>O269</f>
        <v>2271534000</v>
      </c>
      <c r="P267" s="736">
        <f t="shared" ref="P267:Q267" si="108">P269</f>
        <v>1901557100</v>
      </c>
      <c r="Q267" s="736">
        <f t="shared" si="108"/>
        <v>183923900</v>
      </c>
      <c r="R267" s="620">
        <f t="shared" si="85"/>
        <v>2085481000</v>
      </c>
      <c r="S267" s="736">
        <f>S269</f>
        <v>1901557100</v>
      </c>
      <c r="T267" s="736">
        <f>T269</f>
        <v>364914300</v>
      </c>
      <c r="U267" s="620">
        <f t="shared" si="86"/>
        <v>2266471400</v>
      </c>
      <c r="V267" s="620">
        <f t="shared" si="81"/>
        <v>5062600</v>
      </c>
      <c r="W267" s="620"/>
      <c r="X267" s="620">
        <f t="shared" si="92"/>
        <v>-180990400</v>
      </c>
      <c r="Y267" s="621">
        <f t="shared" si="88"/>
        <v>0.99777128583591523</v>
      </c>
    </row>
    <row r="268" spans="1:25" s="588" customFormat="1" ht="25" customHeight="1">
      <c r="A268" s="732"/>
      <c r="B268" s="733"/>
      <c r="C268" s="733"/>
      <c r="D268" s="733"/>
      <c r="E268" s="733"/>
      <c r="F268" s="733"/>
      <c r="G268" s="733"/>
      <c r="H268" s="733"/>
      <c r="I268" s="733"/>
      <c r="J268" s="733"/>
      <c r="K268" s="733"/>
      <c r="L268" s="733"/>
      <c r="M268" s="734"/>
      <c r="N268" s="592"/>
      <c r="O268" s="612"/>
      <c r="P268" s="612"/>
      <c r="Q268" s="612"/>
      <c r="R268" s="595"/>
      <c r="S268" s="613"/>
      <c r="T268" s="613"/>
      <c r="U268" s="595"/>
      <c r="V268" s="595"/>
      <c r="W268" s="595"/>
      <c r="X268" s="595"/>
      <c r="Y268" s="597"/>
    </row>
    <row r="269" spans="1:25" s="588" customFormat="1" ht="40.5" customHeight="1">
      <c r="A269" s="720">
        <v>7</v>
      </c>
      <c r="B269" s="721" t="s">
        <v>348</v>
      </c>
      <c r="C269" s="721" t="s">
        <v>357</v>
      </c>
      <c r="D269" s="631">
        <v>2</v>
      </c>
      <c r="E269" s="630" t="s">
        <v>357</v>
      </c>
      <c r="F269" s="630" t="s">
        <v>348</v>
      </c>
      <c r="G269" s="755"/>
      <c r="H269" s="755"/>
      <c r="I269" s="755"/>
      <c r="J269" s="755"/>
      <c r="K269" s="755"/>
      <c r="L269" s="755"/>
      <c r="M269" s="756"/>
      <c r="N269" s="665" t="s">
        <v>514</v>
      </c>
      <c r="O269" s="634">
        <f>O270</f>
        <v>2271534000</v>
      </c>
      <c r="P269" s="634">
        <f t="shared" ref="P269:V269" si="109">P270</f>
        <v>1901557100</v>
      </c>
      <c r="Q269" s="634">
        <f t="shared" si="109"/>
        <v>183923900</v>
      </c>
      <c r="R269" s="634">
        <f t="shared" si="109"/>
        <v>2085481000</v>
      </c>
      <c r="S269" s="634">
        <f t="shared" si="109"/>
        <v>1901557100</v>
      </c>
      <c r="T269" s="634">
        <f t="shared" si="109"/>
        <v>364914300</v>
      </c>
      <c r="U269" s="634">
        <f t="shared" si="109"/>
        <v>2266471400</v>
      </c>
      <c r="V269" s="634">
        <f t="shared" si="109"/>
        <v>5062600</v>
      </c>
      <c r="W269" s="635"/>
      <c r="X269" s="635">
        <f t="shared" si="92"/>
        <v>-180990400</v>
      </c>
      <c r="Y269" s="666">
        <f t="shared" si="88"/>
        <v>0.99777128583591523</v>
      </c>
    </row>
    <row r="270" spans="1:25" s="588" customFormat="1" ht="40.5" customHeight="1">
      <c r="A270" s="726">
        <v>7</v>
      </c>
      <c r="B270" s="727" t="s">
        <v>348</v>
      </c>
      <c r="C270" s="727" t="s">
        <v>357</v>
      </c>
      <c r="D270" s="624">
        <v>2</v>
      </c>
      <c r="E270" s="637" t="s">
        <v>357</v>
      </c>
      <c r="F270" s="637" t="s">
        <v>348</v>
      </c>
      <c r="G270" s="624">
        <v>5</v>
      </c>
      <c r="H270" s="624">
        <v>1</v>
      </c>
      <c r="I270" s="637" t="s">
        <v>350</v>
      </c>
      <c r="J270" s="624"/>
      <c r="K270" s="624"/>
      <c r="L270" s="640"/>
      <c r="M270" s="641"/>
      <c r="N270" s="747" t="s">
        <v>489</v>
      </c>
      <c r="O270" s="740">
        <f>O271+O277+O283</f>
        <v>2271534000</v>
      </c>
      <c r="P270" s="740">
        <f t="shared" ref="P270:Q270" si="110">P271+P277+P283</f>
        <v>1901557100</v>
      </c>
      <c r="Q270" s="740">
        <f t="shared" si="110"/>
        <v>183923900</v>
      </c>
      <c r="R270" s="740">
        <f>SUM(P270:Q270)</f>
        <v>2085481000</v>
      </c>
      <c r="S270" s="740">
        <f t="shared" ref="S270:T270" si="111">S271+S277+S283</f>
        <v>1901557100</v>
      </c>
      <c r="T270" s="740">
        <f t="shared" si="111"/>
        <v>364914300</v>
      </c>
      <c r="U270" s="740">
        <f>SUM(S270:T270)</f>
        <v>2266471400</v>
      </c>
      <c r="V270" s="740">
        <f>O270-U270</f>
        <v>5062600</v>
      </c>
      <c r="W270" s="595"/>
      <c r="X270" s="595">
        <f t="shared" si="92"/>
        <v>-180990400</v>
      </c>
      <c r="Y270" s="597">
        <f t="shared" si="88"/>
        <v>0.99777128583591523</v>
      </c>
    </row>
    <row r="271" spans="1:25" s="588" customFormat="1" ht="40.5" customHeight="1">
      <c r="A271" s="726">
        <v>7</v>
      </c>
      <c r="B271" s="727" t="s">
        <v>348</v>
      </c>
      <c r="C271" s="727" t="s">
        <v>357</v>
      </c>
      <c r="D271" s="624">
        <v>2</v>
      </c>
      <c r="E271" s="637" t="s">
        <v>357</v>
      </c>
      <c r="F271" s="637" t="s">
        <v>348</v>
      </c>
      <c r="G271" s="624">
        <v>5</v>
      </c>
      <c r="H271" s="624">
        <v>1</v>
      </c>
      <c r="I271" s="637" t="s">
        <v>350</v>
      </c>
      <c r="J271" s="637" t="s">
        <v>348</v>
      </c>
      <c r="K271" s="624"/>
      <c r="L271" s="640"/>
      <c r="M271" s="641"/>
      <c r="N271" s="747" t="s">
        <v>398</v>
      </c>
      <c r="O271" s="740">
        <f>O272</f>
        <v>49014000</v>
      </c>
      <c r="P271" s="740">
        <f t="shared" ref="P271:Q271" si="112">P272</f>
        <v>44997100</v>
      </c>
      <c r="Q271" s="740">
        <f t="shared" si="112"/>
        <v>543900</v>
      </c>
      <c r="R271" s="595">
        <f t="shared" si="85"/>
        <v>45541000</v>
      </c>
      <c r="S271" s="740">
        <f t="shared" ref="S271:T271" si="113">S272</f>
        <v>44997100</v>
      </c>
      <c r="T271" s="740">
        <f t="shared" si="113"/>
        <v>1334300</v>
      </c>
      <c r="U271" s="595">
        <f t="shared" si="86"/>
        <v>46331400</v>
      </c>
      <c r="V271" s="740">
        <f t="shared" ref="V271:V284" si="114">O271-U271</f>
        <v>2682600</v>
      </c>
      <c r="W271" s="595"/>
      <c r="X271" s="595">
        <f t="shared" si="92"/>
        <v>-790400</v>
      </c>
      <c r="Y271" s="597">
        <f t="shared" si="88"/>
        <v>0.94526869873913577</v>
      </c>
    </row>
    <row r="272" spans="1:25" s="588" customFormat="1" ht="40.5" customHeight="1">
      <c r="A272" s="726">
        <v>7</v>
      </c>
      <c r="B272" s="727" t="s">
        <v>348</v>
      </c>
      <c r="C272" s="727" t="s">
        <v>357</v>
      </c>
      <c r="D272" s="624">
        <v>2</v>
      </c>
      <c r="E272" s="637" t="s">
        <v>357</v>
      </c>
      <c r="F272" s="637" t="s">
        <v>348</v>
      </c>
      <c r="G272" s="624">
        <v>5</v>
      </c>
      <c r="H272" s="624">
        <v>1</v>
      </c>
      <c r="I272" s="637" t="s">
        <v>350</v>
      </c>
      <c r="J272" s="637" t="s">
        <v>348</v>
      </c>
      <c r="K272" s="637" t="s">
        <v>348</v>
      </c>
      <c r="L272" s="640"/>
      <c r="M272" s="641"/>
      <c r="N272" s="747" t="s">
        <v>379</v>
      </c>
      <c r="O272" s="740">
        <f>SUM(O273:O276)</f>
        <v>49014000</v>
      </c>
      <c r="P272" s="740">
        <f t="shared" ref="P272:Q272" si="115">SUM(P273:P276)</f>
        <v>44997100</v>
      </c>
      <c r="Q272" s="740">
        <f t="shared" si="115"/>
        <v>543900</v>
      </c>
      <c r="R272" s="595">
        <f t="shared" si="85"/>
        <v>45541000</v>
      </c>
      <c r="S272" s="740">
        <f t="shared" ref="S272:T272" si="116">SUM(S273:S276)</f>
        <v>44997100</v>
      </c>
      <c r="T272" s="740">
        <f t="shared" si="116"/>
        <v>1334300</v>
      </c>
      <c r="U272" s="595">
        <f t="shared" si="86"/>
        <v>46331400</v>
      </c>
      <c r="V272" s="740">
        <f t="shared" si="114"/>
        <v>2682600</v>
      </c>
      <c r="W272" s="595"/>
      <c r="X272" s="595">
        <f t="shared" si="92"/>
        <v>-790400</v>
      </c>
      <c r="Y272" s="597">
        <f t="shared" si="88"/>
        <v>0.94526869873913577</v>
      </c>
    </row>
    <row r="273" spans="1:31" s="588" customFormat="1" ht="40.5" customHeight="1">
      <c r="A273" s="728">
        <v>7</v>
      </c>
      <c r="B273" s="729" t="s">
        <v>348</v>
      </c>
      <c r="C273" s="729" t="s">
        <v>357</v>
      </c>
      <c r="D273" s="640">
        <v>2</v>
      </c>
      <c r="E273" s="639" t="s">
        <v>357</v>
      </c>
      <c r="F273" s="639" t="s">
        <v>348</v>
      </c>
      <c r="G273" s="640">
        <v>5</v>
      </c>
      <c r="H273" s="640">
        <v>1</v>
      </c>
      <c r="I273" s="639" t="s">
        <v>350</v>
      </c>
      <c r="J273" s="639" t="s">
        <v>348</v>
      </c>
      <c r="K273" s="639" t="s">
        <v>348</v>
      </c>
      <c r="L273" s="639" t="s">
        <v>354</v>
      </c>
      <c r="M273" s="641">
        <v>4</v>
      </c>
      <c r="N273" s="741" t="str">
        <f>'[1]SPJ FUNGSIONAL '!N280</f>
        <v xml:space="preserve">Belanja Bahan Bakar dan Pelumas </v>
      </c>
      <c r="O273" s="742">
        <f>'[1]SPJ FUNGSIONAL '!O280</f>
        <v>10000</v>
      </c>
      <c r="P273" s="740"/>
      <c r="Q273" s="740"/>
      <c r="R273" s="595"/>
      <c r="S273" s="740"/>
      <c r="T273" s="740"/>
      <c r="U273" s="595"/>
      <c r="V273" s="742">
        <f t="shared" si="114"/>
        <v>10000</v>
      </c>
      <c r="W273" s="644"/>
      <c r="X273" s="644">
        <f t="shared" si="92"/>
        <v>0</v>
      </c>
      <c r="Y273" s="646">
        <f t="shared" si="88"/>
        <v>0</v>
      </c>
    </row>
    <row r="274" spans="1:31" s="588" customFormat="1" ht="40.5" customHeight="1">
      <c r="A274" s="728">
        <v>7</v>
      </c>
      <c r="B274" s="729" t="s">
        <v>348</v>
      </c>
      <c r="C274" s="729" t="s">
        <v>357</v>
      </c>
      <c r="D274" s="640">
        <v>2</v>
      </c>
      <c r="E274" s="639" t="s">
        <v>357</v>
      </c>
      <c r="F274" s="639" t="s">
        <v>348</v>
      </c>
      <c r="G274" s="640">
        <v>5</v>
      </c>
      <c r="H274" s="640">
        <v>1</v>
      </c>
      <c r="I274" s="639" t="s">
        <v>350</v>
      </c>
      <c r="J274" s="639" t="s">
        <v>348</v>
      </c>
      <c r="K274" s="639" t="s">
        <v>348</v>
      </c>
      <c r="L274" s="639" t="s">
        <v>393</v>
      </c>
      <c r="M274" s="641">
        <v>2</v>
      </c>
      <c r="N274" s="642" t="str">
        <f>'[1]SPJ FUNGSIONAL '!N281</f>
        <v>Belanja Makanan dan Minuman Rapat</v>
      </c>
      <c r="O274" s="742">
        <f>'[1]SPJ FUNGSIONAL '!O281</f>
        <v>10305000</v>
      </c>
      <c r="P274" s="644">
        <f>'[2]LRA SP2D'!$R$274</f>
        <v>8115850</v>
      </c>
      <c r="Q274" s="644">
        <v>543900</v>
      </c>
      <c r="R274" s="644">
        <f t="shared" si="85"/>
        <v>8659750</v>
      </c>
      <c r="S274" s="644">
        <f>'[1]SPJ FUNGSIONAL '!Y281</f>
        <v>8115850</v>
      </c>
      <c r="T274" s="644">
        <f>'[1]SPJ FUNGSIONAL '!Z281</f>
        <v>1334300</v>
      </c>
      <c r="U274" s="644">
        <f t="shared" si="86"/>
        <v>9450150</v>
      </c>
      <c r="V274" s="742">
        <f t="shared" si="114"/>
        <v>854850</v>
      </c>
      <c r="W274" s="644"/>
      <c r="X274" s="644">
        <f t="shared" si="92"/>
        <v>-790400</v>
      </c>
      <c r="Y274" s="646">
        <f t="shared" si="88"/>
        <v>0.91704512372634639</v>
      </c>
    </row>
    <row r="275" spans="1:31" s="588" customFormat="1" ht="40.5" customHeight="1">
      <c r="A275" s="728">
        <v>7</v>
      </c>
      <c r="B275" s="729" t="s">
        <v>348</v>
      </c>
      <c r="C275" s="729" t="s">
        <v>357</v>
      </c>
      <c r="D275" s="640">
        <v>2</v>
      </c>
      <c r="E275" s="639" t="s">
        <v>357</v>
      </c>
      <c r="F275" s="639" t="s">
        <v>348</v>
      </c>
      <c r="G275" s="640">
        <v>5</v>
      </c>
      <c r="H275" s="640">
        <v>1</v>
      </c>
      <c r="I275" s="639" t="s">
        <v>350</v>
      </c>
      <c r="J275" s="639" t="s">
        <v>348</v>
      </c>
      <c r="K275" s="639" t="s">
        <v>348</v>
      </c>
      <c r="L275" s="639" t="s">
        <v>393</v>
      </c>
      <c r="M275" s="641">
        <v>8</v>
      </c>
      <c r="N275" s="757" t="str">
        <f>'[1]SPJ FUNGSIONAL '!N282</f>
        <v xml:space="preserve">Belnja Makanan dan Minuman Aktivitas Lapangan </v>
      </c>
      <c r="O275" s="742">
        <f>'[1]SPJ FUNGSIONAL '!O282</f>
        <v>1599000</v>
      </c>
      <c r="P275" s="742"/>
      <c r="Q275" s="742"/>
      <c r="R275" s="644"/>
      <c r="S275" s="742"/>
      <c r="T275" s="742"/>
      <c r="U275" s="644"/>
      <c r="V275" s="742">
        <f t="shared" si="114"/>
        <v>1599000</v>
      </c>
      <c r="W275" s="644"/>
      <c r="X275" s="644">
        <f t="shared" si="92"/>
        <v>0</v>
      </c>
      <c r="Y275" s="646">
        <f t="shared" si="88"/>
        <v>0</v>
      </c>
    </row>
    <row r="276" spans="1:31" s="588" customFormat="1" ht="40.5" customHeight="1">
      <c r="A276" s="728">
        <v>7</v>
      </c>
      <c r="B276" s="729" t="s">
        <v>348</v>
      </c>
      <c r="C276" s="729" t="s">
        <v>357</v>
      </c>
      <c r="D276" s="640">
        <v>2</v>
      </c>
      <c r="E276" s="639" t="s">
        <v>357</v>
      </c>
      <c r="F276" s="639" t="s">
        <v>348</v>
      </c>
      <c r="G276" s="640">
        <v>5</v>
      </c>
      <c r="H276" s="640">
        <v>1</v>
      </c>
      <c r="I276" s="639" t="s">
        <v>350</v>
      </c>
      <c r="J276" s="639" t="s">
        <v>348</v>
      </c>
      <c r="K276" s="639" t="s">
        <v>348</v>
      </c>
      <c r="L276" s="639" t="s">
        <v>472</v>
      </c>
      <c r="M276" s="641">
        <v>5</v>
      </c>
      <c r="N276" s="757" t="str">
        <f>'[1]SPJ FUNGSIONAL '!N283</f>
        <v xml:space="preserve">Belanja Pakaian Batik Tradisional </v>
      </c>
      <c r="O276" s="742">
        <f>'[1]SPJ FUNGSIONAL '!O283</f>
        <v>37100000</v>
      </c>
      <c r="P276" s="742">
        <f>S276</f>
        <v>36881250</v>
      </c>
      <c r="Q276" s="742"/>
      <c r="R276" s="644">
        <f>SUM(P276:Q276)</f>
        <v>36881250</v>
      </c>
      <c r="S276" s="742">
        <f>'[1]SPJ FUNGSIONAL '!Y283</f>
        <v>36881250</v>
      </c>
      <c r="T276" s="742">
        <f>'[1]SPJ FUNGSIONAL '!Z283</f>
        <v>0</v>
      </c>
      <c r="U276" s="644">
        <f>SUM(S276:T276)</f>
        <v>36881250</v>
      </c>
      <c r="V276" s="742">
        <f t="shared" si="114"/>
        <v>218750</v>
      </c>
      <c r="W276" s="644"/>
      <c r="X276" s="644">
        <f t="shared" si="92"/>
        <v>0</v>
      </c>
      <c r="Y276" s="646">
        <f t="shared" si="88"/>
        <v>0.99410377358490565</v>
      </c>
    </row>
    <row r="277" spans="1:31" s="588" customFormat="1" ht="40.5" customHeight="1">
      <c r="A277" s="726">
        <v>7</v>
      </c>
      <c r="B277" s="727" t="s">
        <v>348</v>
      </c>
      <c r="C277" s="727" t="s">
        <v>357</v>
      </c>
      <c r="D277" s="624">
        <v>2</v>
      </c>
      <c r="E277" s="637" t="s">
        <v>357</v>
      </c>
      <c r="F277" s="637" t="s">
        <v>348</v>
      </c>
      <c r="G277" s="624">
        <v>5</v>
      </c>
      <c r="H277" s="624">
        <v>1</v>
      </c>
      <c r="I277" s="637" t="s">
        <v>350</v>
      </c>
      <c r="J277" s="637" t="s">
        <v>350</v>
      </c>
      <c r="K277" s="624"/>
      <c r="L277" s="640"/>
      <c r="M277" s="641"/>
      <c r="N277" s="747" t="s">
        <v>391</v>
      </c>
      <c r="O277" s="740">
        <f>O278+O281</f>
        <v>60120000</v>
      </c>
      <c r="P277" s="740">
        <f t="shared" ref="P277:T277" si="117">P278+P281</f>
        <v>56560000</v>
      </c>
      <c r="Q277" s="740">
        <f t="shared" si="117"/>
        <v>3180000</v>
      </c>
      <c r="R277" s="740">
        <f t="shared" si="117"/>
        <v>59740000</v>
      </c>
      <c r="S277" s="740">
        <f t="shared" si="117"/>
        <v>56560000</v>
      </c>
      <c r="T277" s="740">
        <f t="shared" si="117"/>
        <v>3180000</v>
      </c>
      <c r="U277" s="595">
        <f t="shared" si="86"/>
        <v>59740000</v>
      </c>
      <c r="V277" s="740">
        <f t="shared" si="114"/>
        <v>380000</v>
      </c>
      <c r="W277" s="644"/>
      <c r="X277" s="595">
        <f t="shared" si="92"/>
        <v>0</v>
      </c>
      <c r="Y277" s="646">
        <f t="shared" si="88"/>
        <v>0.99367930805056559</v>
      </c>
    </row>
    <row r="278" spans="1:31" s="588" customFormat="1" ht="40.5" customHeight="1">
      <c r="A278" s="726">
        <v>7</v>
      </c>
      <c r="B278" s="727" t="s">
        <v>348</v>
      </c>
      <c r="C278" s="727" t="s">
        <v>357</v>
      </c>
      <c r="D278" s="624">
        <v>2</v>
      </c>
      <c r="E278" s="637" t="s">
        <v>357</v>
      </c>
      <c r="F278" s="637" t="s">
        <v>348</v>
      </c>
      <c r="G278" s="624">
        <v>5</v>
      </c>
      <c r="H278" s="624">
        <v>1</v>
      </c>
      <c r="I278" s="637" t="s">
        <v>350</v>
      </c>
      <c r="J278" s="637" t="s">
        <v>350</v>
      </c>
      <c r="K278" s="637" t="s">
        <v>350</v>
      </c>
      <c r="L278" s="758"/>
      <c r="M278" s="759"/>
      <c r="N278" s="747" t="str">
        <f>'[1]SPJ FUNGSIONAL '!N285</f>
        <v xml:space="preserve">Belanja Iuran Jaminan/Asuransi </v>
      </c>
      <c r="O278" s="740">
        <f>O279+O280</f>
        <v>38520000</v>
      </c>
      <c r="P278" s="740">
        <f t="shared" ref="P278:T278" si="118">P279+P280</f>
        <v>34960000</v>
      </c>
      <c r="Q278" s="740">
        <f t="shared" si="118"/>
        <v>3180000</v>
      </c>
      <c r="R278" s="740">
        <f t="shared" si="118"/>
        <v>38140000</v>
      </c>
      <c r="S278" s="740">
        <f t="shared" si="118"/>
        <v>34960000</v>
      </c>
      <c r="T278" s="740">
        <f t="shared" si="118"/>
        <v>3180000</v>
      </c>
      <c r="U278" s="595">
        <f t="shared" ref="U278:U284" si="119">SUM(S278:T278)</f>
        <v>38140000</v>
      </c>
      <c r="V278" s="740">
        <f t="shared" si="114"/>
        <v>380000</v>
      </c>
      <c r="W278" s="644"/>
      <c r="X278" s="595">
        <f t="shared" si="92"/>
        <v>0</v>
      </c>
      <c r="Y278" s="646">
        <f t="shared" si="88"/>
        <v>0.99013499480789202</v>
      </c>
    </row>
    <row r="279" spans="1:31" s="588" customFormat="1" ht="40.5" customHeight="1">
      <c r="A279" s="728">
        <v>7</v>
      </c>
      <c r="B279" s="729" t="s">
        <v>348</v>
      </c>
      <c r="C279" s="729" t="s">
        <v>357</v>
      </c>
      <c r="D279" s="640">
        <v>2</v>
      </c>
      <c r="E279" s="639" t="s">
        <v>357</v>
      </c>
      <c r="F279" s="639" t="s">
        <v>348</v>
      </c>
      <c r="G279" s="640">
        <v>5</v>
      </c>
      <c r="H279" s="640">
        <v>1</v>
      </c>
      <c r="I279" s="639" t="s">
        <v>350</v>
      </c>
      <c r="J279" s="639" t="s">
        <v>350</v>
      </c>
      <c r="K279" s="639" t="s">
        <v>350</v>
      </c>
      <c r="L279" s="760" t="s">
        <v>354</v>
      </c>
      <c r="M279" s="754">
        <v>6</v>
      </c>
      <c r="N279" s="741" t="str">
        <f>'[1]SPJ FUNGSIONAL '!N286</f>
        <v xml:space="preserve">Belanja Iuran Jaminan Kecelakaan Kerja Bagi Non PNS </v>
      </c>
      <c r="O279" s="742">
        <f>'[1]SPJ FUNGSIONAL '!O286</f>
        <v>17118288</v>
      </c>
      <c r="P279" s="742">
        <f>'[2]LRA SP2D'!$R$279</f>
        <v>15429568</v>
      </c>
      <c r="Q279" s="742">
        <v>1413192</v>
      </c>
      <c r="R279" s="644">
        <f t="shared" ref="R279:R284" si="120">SUM(P279:Q279)</f>
        <v>16842760</v>
      </c>
      <c r="S279" s="742">
        <f>'[1]SPJ FUNGSIONAL '!Y286</f>
        <v>15429568</v>
      </c>
      <c r="T279" s="742">
        <f>'[1]SPJ FUNGSIONAL '!Z286</f>
        <v>1413192</v>
      </c>
      <c r="U279" s="644">
        <f t="shared" si="119"/>
        <v>16842760</v>
      </c>
      <c r="V279" s="742">
        <f t="shared" si="114"/>
        <v>275528</v>
      </c>
      <c r="W279" s="644"/>
      <c r="X279" s="644">
        <f t="shared" si="92"/>
        <v>0</v>
      </c>
      <c r="Y279" s="646">
        <f t="shared" si="88"/>
        <v>0.98390446521287644</v>
      </c>
    </row>
    <row r="280" spans="1:31" s="588" customFormat="1" ht="40.5" customHeight="1">
      <c r="A280" s="728">
        <v>7</v>
      </c>
      <c r="B280" s="729" t="s">
        <v>348</v>
      </c>
      <c r="C280" s="729" t="s">
        <v>357</v>
      </c>
      <c r="D280" s="640">
        <v>2</v>
      </c>
      <c r="E280" s="639" t="s">
        <v>357</v>
      </c>
      <c r="F280" s="639" t="s">
        <v>348</v>
      </c>
      <c r="G280" s="640">
        <v>5</v>
      </c>
      <c r="H280" s="640">
        <v>1</v>
      </c>
      <c r="I280" s="639" t="s">
        <v>350</v>
      </c>
      <c r="J280" s="639" t="s">
        <v>350</v>
      </c>
      <c r="K280" s="639" t="s">
        <v>350</v>
      </c>
      <c r="L280" s="760" t="s">
        <v>354</v>
      </c>
      <c r="M280" s="754">
        <v>7</v>
      </c>
      <c r="N280" s="741" t="str">
        <f>'[1]SPJ FUNGSIONAL '!N287</f>
        <v xml:space="preserve">Belanja Iuran Jaminan Kematian Bagi Non PNS </v>
      </c>
      <c r="O280" s="742">
        <f>'[1]SPJ FUNGSIONAL '!O287</f>
        <v>21401712</v>
      </c>
      <c r="P280" s="742">
        <f>'[2]LRA SP2D'!$R$280</f>
        <v>19530432</v>
      </c>
      <c r="Q280" s="742">
        <v>1766808</v>
      </c>
      <c r="R280" s="644">
        <f t="shared" si="120"/>
        <v>21297240</v>
      </c>
      <c r="S280" s="742">
        <f>'[1]SPJ FUNGSIONAL '!Y287</f>
        <v>19530432</v>
      </c>
      <c r="T280" s="742">
        <f>'[1]SPJ FUNGSIONAL '!Z287</f>
        <v>1766808</v>
      </c>
      <c r="U280" s="644">
        <f t="shared" si="119"/>
        <v>21297240</v>
      </c>
      <c r="V280" s="742">
        <f t="shared" si="114"/>
        <v>104472</v>
      </c>
      <c r="W280" s="644"/>
      <c r="X280" s="644">
        <f t="shared" si="92"/>
        <v>0</v>
      </c>
      <c r="Y280" s="646">
        <f t="shared" si="88"/>
        <v>0.9951185213594127</v>
      </c>
    </row>
    <row r="281" spans="1:31" s="588" customFormat="1" ht="40.5" customHeight="1">
      <c r="A281" s="726">
        <v>7</v>
      </c>
      <c r="B281" s="727" t="s">
        <v>348</v>
      </c>
      <c r="C281" s="727" t="s">
        <v>357</v>
      </c>
      <c r="D281" s="624">
        <v>2</v>
      </c>
      <c r="E281" s="692" t="s">
        <v>357</v>
      </c>
      <c r="F281" s="692" t="s">
        <v>348</v>
      </c>
      <c r="G281" s="737">
        <v>5</v>
      </c>
      <c r="H281" s="737">
        <v>1</v>
      </c>
      <c r="I281" s="692" t="s">
        <v>350</v>
      </c>
      <c r="J281" s="637" t="s">
        <v>350</v>
      </c>
      <c r="K281" s="637" t="s">
        <v>382</v>
      </c>
      <c r="L281" s="637"/>
      <c r="M281" s="751"/>
      <c r="N281" s="747" t="str">
        <f>'[1]SPJ FUNGSIONAL '!N288</f>
        <v xml:space="preserve">Belanja Sewa Peralatan dan Mesin </v>
      </c>
      <c r="O281" s="740">
        <f>O282</f>
        <v>21600000</v>
      </c>
      <c r="P281" s="740">
        <f t="shared" ref="P281:Q281" si="121">P282</f>
        <v>21600000</v>
      </c>
      <c r="Q281" s="740">
        <f t="shared" si="121"/>
        <v>0</v>
      </c>
      <c r="R281" s="595">
        <f t="shared" si="120"/>
        <v>21600000</v>
      </c>
      <c r="S281" s="740">
        <f>S282</f>
        <v>21600000</v>
      </c>
      <c r="T281" s="740">
        <f>T282</f>
        <v>0</v>
      </c>
      <c r="U281" s="595">
        <f t="shared" si="119"/>
        <v>21600000</v>
      </c>
      <c r="V281" s="740">
        <f t="shared" si="114"/>
        <v>0</v>
      </c>
      <c r="W281" s="644"/>
      <c r="X281" s="644">
        <f t="shared" si="92"/>
        <v>0</v>
      </c>
      <c r="Y281" s="646">
        <f t="shared" si="88"/>
        <v>1</v>
      </c>
    </row>
    <row r="282" spans="1:31" s="588" customFormat="1" ht="40.5" customHeight="1">
      <c r="A282" s="728">
        <v>7</v>
      </c>
      <c r="B282" s="729" t="s">
        <v>348</v>
      </c>
      <c r="C282" s="729" t="s">
        <v>357</v>
      </c>
      <c r="D282" s="640">
        <v>2</v>
      </c>
      <c r="E282" s="696" t="s">
        <v>357</v>
      </c>
      <c r="F282" s="696" t="s">
        <v>348</v>
      </c>
      <c r="G282" s="738">
        <v>5</v>
      </c>
      <c r="H282" s="738">
        <v>1</v>
      </c>
      <c r="I282" s="696" t="s">
        <v>350</v>
      </c>
      <c r="J282" s="639" t="s">
        <v>350</v>
      </c>
      <c r="K282" s="639" t="s">
        <v>382</v>
      </c>
      <c r="L282" s="639" t="s">
        <v>380</v>
      </c>
      <c r="M282" s="750">
        <v>6</v>
      </c>
      <c r="N282" s="741" t="str">
        <f>'[1]SPJ FUNGSIONAL '!N289</f>
        <v xml:space="preserve">Belanja Sewa Kendaraan Bemotor Penumpang </v>
      </c>
      <c r="O282" s="742">
        <f>'[1]SPJ FUNGSIONAL '!O289</f>
        <v>21600000</v>
      </c>
      <c r="P282" s="742">
        <f>'[7]LRA SP2D'!$R$258</f>
        <v>21600000</v>
      </c>
      <c r="Q282" s="742">
        <f>T282</f>
        <v>0</v>
      </c>
      <c r="R282" s="644">
        <f t="shared" si="120"/>
        <v>21600000</v>
      </c>
      <c r="S282" s="742">
        <f>'[1]SPJ FUNGSIONAL '!Y289</f>
        <v>21600000</v>
      </c>
      <c r="T282" s="742">
        <f>'[1]SPJ FUNGSIONAL '!Z289</f>
        <v>0</v>
      </c>
      <c r="U282" s="644">
        <f t="shared" si="119"/>
        <v>21600000</v>
      </c>
      <c r="V282" s="742">
        <f t="shared" si="114"/>
        <v>0</v>
      </c>
      <c r="W282" s="644"/>
      <c r="X282" s="644">
        <f t="shared" si="92"/>
        <v>0</v>
      </c>
      <c r="Y282" s="646">
        <f t="shared" si="88"/>
        <v>1</v>
      </c>
    </row>
    <row r="283" spans="1:31" s="588" customFormat="1" ht="40.5" customHeight="1">
      <c r="A283" s="726">
        <v>7</v>
      </c>
      <c r="B283" s="727" t="s">
        <v>348</v>
      </c>
      <c r="C283" s="727" t="s">
        <v>357</v>
      </c>
      <c r="D283" s="624">
        <v>2</v>
      </c>
      <c r="E283" s="692" t="s">
        <v>357</v>
      </c>
      <c r="F283" s="692" t="s">
        <v>348</v>
      </c>
      <c r="G283" s="737">
        <v>5</v>
      </c>
      <c r="H283" s="737">
        <v>1</v>
      </c>
      <c r="I283" s="692" t="s">
        <v>350</v>
      </c>
      <c r="J283" s="637" t="s">
        <v>359</v>
      </c>
      <c r="K283" s="637" t="s">
        <v>348</v>
      </c>
      <c r="L283" s="637"/>
      <c r="M283" s="751"/>
      <c r="N283" s="747" t="str">
        <f>'[1]SPJ FUNGSIONAL '!N290</f>
        <v xml:space="preserve">Belanja Uang yang Diberikan Kepada Pihak Ketiga/Pihak Lain/Masyarakat </v>
      </c>
      <c r="O283" s="740">
        <f>O284</f>
        <v>2162400000</v>
      </c>
      <c r="P283" s="740">
        <f t="shared" ref="P283:Q283" si="122">P284</f>
        <v>1800000000</v>
      </c>
      <c r="Q283" s="740">
        <f t="shared" si="122"/>
        <v>180200000</v>
      </c>
      <c r="R283" s="595">
        <f t="shared" si="120"/>
        <v>1980200000</v>
      </c>
      <c r="S283" s="740">
        <f t="shared" ref="S283:T283" si="123">S284</f>
        <v>1800000000</v>
      </c>
      <c r="T283" s="740">
        <f t="shared" si="123"/>
        <v>360400000</v>
      </c>
      <c r="U283" s="595">
        <f t="shared" si="119"/>
        <v>2160400000</v>
      </c>
      <c r="V283" s="740">
        <f t="shared" si="114"/>
        <v>2000000</v>
      </c>
      <c r="W283" s="644"/>
      <c r="X283" s="644">
        <f t="shared" si="92"/>
        <v>-180200000</v>
      </c>
      <c r="Y283" s="646">
        <f t="shared" si="88"/>
        <v>0.99907510173880876</v>
      </c>
    </row>
    <row r="284" spans="1:31" s="588" customFormat="1" ht="40.5" customHeight="1">
      <c r="A284" s="728">
        <v>7</v>
      </c>
      <c r="B284" s="729" t="s">
        <v>348</v>
      </c>
      <c r="C284" s="729" t="s">
        <v>357</v>
      </c>
      <c r="D284" s="640">
        <v>2</v>
      </c>
      <c r="E284" s="696" t="s">
        <v>357</v>
      </c>
      <c r="F284" s="696" t="s">
        <v>348</v>
      </c>
      <c r="G284" s="738">
        <v>5</v>
      </c>
      <c r="H284" s="738">
        <v>1</v>
      </c>
      <c r="I284" s="696" t="s">
        <v>350</v>
      </c>
      <c r="J284" s="639" t="s">
        <v>359</v>
      </c>
      <c r="K284" s="639" t="s">
        <v>348</v>
      </c>
      <c r="L284" s="760" t="s">
        <v>354</v>
      </c>
      <c r="M284" s="761">
        <v>8</v>
      </c>
      <c r="N284" s="741" t="str">
        <f>'[1]SPJ FUNGSIONAL '!N291</f>
        <v xml:space="preserve">Belanja Uang yang Diberikan kepada RT atau dengan Sebutan Lain </v>
      </c>
      <c r="O284" s="742">
        <f>'[1]SPJ FUNGSIONAL '!O291</f>
        <v>2162400000</v>
      </c>
      <c r="P284" s="742">
        <f>'[2]LRA SP2D'!$R$284</f>
        <v>1800000000</v>
      </c>
      <c r="Q284" s="742">
        <v>180200000</v>
      </c>
      <c r="R284" s="644">
        <f t="shared" si="120"/>
        <v>1980200000</v>
      </c>
      <c r="S284" s="742">
        <f>'[1]SPJ FUNGSIONAL '!Y291</f>
        <v>1800000000</v>
      </c>
      <c r="T284" s="742">
        <f>'[1]SPJ FUNGSIONAL '!Z291</f>
        <v>360400000</v>
      </c>
      <c r="U284" s="644">
        <f t="shared" si="119"/>
        <v>2160400000</v>
      </c>
      <c r="V284" s="742">
        <f t="shared" si="114"/>
        <v>2000000</v>
      </c>
      <c r="W284" s="644"/>
      <c r="X284" s="644">
        <f t="shared" si="92"/>
        <v>-180200000</v>
      </c>
      <c r="Y284" s="646">
        <f t="shared" si="88"/>
        <v>0.99907510173880876</v>
      </c>
    </row>
    <row r="285" spans="1:31" s="588" customFormat="1" ht="25" customHeight="1">
      <c r="A285" s="609"/>
      <c r="B285" s="610"/>
      <c r="C285" s="610"/>
      <c r="D285" s="752"/>
      <c r="E285" s="752"/>
      <c r="F285" s="752"/>
      <c r="G285" s="752"/>
      <c r="H285" s="752"/>
      <c r="I285" s="752"/>
      <c r="J285" s="752"/>
      <c r="K285" s="752"/>
      <c r="L285" s="753"/>
      <c r="M285" s="754"/>
      <c r="N285" s="747"/>
      <c r="O285" s="742"/>
      <c r="P285" s="644"/>
      <c r="Q285" s="644"/>
      <c r="R285" s="644"/>
      <c r="S285" s="644"/>
      <c r="T285" s="644"/>
      <c r="U285" s="644"/>
      <c r="V285" s="644"/>
      <c r="W285" s="644"/>
      <c r="X285" s="644"/>
      <c r="Y285" s="646"/>
    </row>
    <row r="286" spans="1:31" s="588" customFormat="1" ht="39.75" customHeight="1">
      <c r="A286" s="706">
        <v>7</v>
      </c>
      <c r="B286" s="707" t="s">
        <v>348</v>
      </c>
      <c r="C286" s="707" t="s">
        <v>382</v>
      </c>
      <c r="D286" s="708"/>
      <c r="E286" s="708"/>
      <c r="F286" s="708"/>
      <c r="G286" s="708"/>
      <c r="H286" s="708"/>
      <c r="I286" s="708"/>
      <c r="J286" s="708"/>
      <c r="K286" s="708"/>
      <c r="L286" s="708"/>
      <c r="M286" s="709"/>
      <c r="N286" s="710" t="s">
        <v>516</v>
      </c>
      <c r="O286" s="711">
        <f>O288</f>
        <v>18471000</v>
      </c>
      <c r="P286" s="762">
        <f>P288</f>
        <v>10029200</v>
      </c>
      <c r="Q286" s="762">
        <f>Q288</f>
        <v>4312025</v>
      </c>
      <c r="R286" s="712">
        <f t="shared" ref="R286:R302" si="124">P286+Q286</f>
        <v>14341225</v>
      </c>
      <c r="S286" s="762">
        <f>S288</f>
        <v>11355600</v>
      </c>
      <c r="T286" s="762">
        <f>T288</f>
        <v>3535625</v>
      </c>
      <c r="U286" s="712">
        <f t="shared" ref="U286:U302" si="125">S286+T286</f>
        <v>14891225</v>
      </c>
      <c r="V286" s="712">
        <f t="shared" ref="V286:V302" si="126">O286-U286</f>
        <v>3579775</v>
      </c>
      <c r="W286" s="712"/>
      <c r="X286" s="712">
        <f t="shared" si="92"/>
        <v>-550000</v>
      </c>
      <c r="Y286" s="713">
        <f t="shared" si="88"/>
        <v>0.80619484597477131</v>
      </c>
      <c r="AE286" s="622">
        <f>X290+X269+X233+X184+X161+X142+X133+X119+X106+X93+X67+X61+X46+X40</f>
        <v>-646261775</v>
      </c>
    </row>
    <row r="287" spans="1:31" s="588" customFormat="1" ht="25" customHeight="1">
      <c r="A287" s="703"/>
      <c r="B287" s="704"/>
      <c r="C287" s="704"/>
      <c r="D287" s="704"/>
      <c r="E287" s="704"/>
      <c r="F287" s="704"/>
      <c r="G287" s="704"/>
      <c r="H287" s="704"/>
      <c r="I287" s="704"/>
      <c r="J287" s="704"/>
      <c r="K287" s="704"/>
      <c r="L287" s="704"/>
      <c r="M287" s="698"/>
      <c r="N287" s="705"/>
      <c r="O287" s="691"/>
      <c r="P287" s="719"/>
      <c r="Q287" s="719"/>
      <c r="R287" s="595"/>
      <c r="S287" s="719"/>
      <c r="T287" s="719"/>
      <c r="U287" s="595"/>
      <c r="V287" s="595"/>
      <c r="W287" s="595"/>
      <c r="X287" s="595"/>
      <c r="Y287" s="597"/>
    </row>
    <row r="288" spans="1:31" s="588" customFormat="1" ht="43.5" customHeight="1">
      <c r="A288" s="714">
        <v>7</v>
      </c>
      <c r="B288" s="715" t="s">
        <v>348</v>
      </c>
      <c r="C288" s="715" t="s">
        <v>382</v>
      </c>
      <c r="D288" s="715" t="s">
        <v>397</v>
      </c>
      <c r="E288" s="715" t="s">
        <v>348</v>
      </c>
      <c r="F288" s="716"/>
      <c r="G288" s="716"/>
      <c r="H288" s="716"/>
      <c r="I288" s="716"/>
      <c r="J288" s="716"/>
      <c r="K288" s="716"/>
      <c r="L288" s="716"/>
      <c r="M288" s="730"/>
      <c r="N288" s="618" t="s">
        <v>517</v>
      </c>
      <c r="O288" s="731">
        <f>O290+O386+O440+O464</f>
        <v>18471000</v>
      </c>
      <c r="P288" s="736">
        <f>P290+P386+P440+P464</f>
        <v>10029200</v>
      </c>
      <c r="Q288" s="736">
        <f>Q290+Q386+Q440+Q464</f>
        <v>4312025</v>
      </c>
      <c r="R288" s="620">
        <f t="shared" si="124"/>
        <v>14341225</v>
      </c>
      <c r="S288" s="736">
        <f>S290+S386+S440+S464</f>
        <v>11355600</v>
      </c>
      <c r="T288" s="736">
        <f>T290+T386+T440+T464</f>
        <v>3535625</v>
      </c>
      <c r="U288" s="620">
        <f t="shared" si="125"/>
        <v>14891225</v>
      </c>
      <c r="V288" s="620">
        <f t="shared" si="126"/>
        <v>3579775</v>
      </c>
      <c r="W288" s="620"/>
      <c r="X288" s="620">
        <f t="shared" si="92"/>
        <v>-550000</v>
      </c>
      <c r="Y288" s="621">
        <f t="shared" ref="Y288:Y320" si="127">U288/O288*100%</f>
        <v>0.80619484597477131</v>
      </c>
    </row>
    <row r="289" spans="1:25" s="588" customFormat="1" ht="25" customHeight="1">
      <c r="A289" s="732"/>
      <c r="B289" s="733"/>
      <c r="C289" s="733"/>
      <c r="D289" s="733"/>
      <c r="E289" s="733"/>
      <c r="F289" s="733"/>
      <c r="G289" s="733"/>
      <c r="H289" s="733"/>
      <c r="I289" s="733"/>
      <c r="J289" s="733"/>
      <c r="K289" s="733"/>
      <c r="L289" s="733"/>
      <c r="M289" s="734"/>
      <c r="N289" s="592"/>
      <c r="O289" s="612"/>
      <c r="P289" s="613"/>
      <c r="Q289" s="613"/>
      <c r="R289" s="595"/>
      <c r="S289" s="613"/>
      <c r="T289" s="613"/>
      <c r="U289" s="595"/>
      <c r="V289" s="595"/>
      <c r="W289" s="595"/>
      <c r="X289" s="595"/>
      <c r="Y289" s="597"/>
    </row>
    <row r="290" spans="1:25" s="588" customFormat="1" ht="57" customHeight="1">
      <c r="A290" s="720">
        <v>7</v>
      </c>
      <c r="B290" s="721" t="s">
        <v>348</v>
      </c>
      <c r="C290" s="721" t="s">
        <v>382</v>
      </c>
      <c r="D290" s="631">
        <v>2</v>
      </c>
      <c r="E290" s="630" t="s">
        <v>350</v>
      </c>
      <c r="F290" s="630" t="s">
        <v>348</v>
      </c>
      <c r="G290" s="755"/>
      <c r="H290" s="755"/>
      <c r="I290" s="755"/>
      <c r="J290" s="755"/>
      <c r="K290" s="755"/>
      <c r="L290" s="755"/>
      <c r="M290" s="756"/>
      <c r="N290" s="665" t="s">
        <v>518</v>
      </c>
      <c r="O290" s="634">
        <f t="shared" ref="O290:Q291" si="128">O291</f>
        <v>18471000</v>
      </c>
      <c r="P290" s="635">
        <f t="shared" si="128"/>
        <v>10029200</v>
      </c>
      <c r="Q290" s="635">
        <f t="shared" si="128"/>
        <v>4312025</v>
      </c>
      <c r="R290" s="635">
        <f t="shared" si="124"/>
        <v>14341225</v>
      </c>
      <c r="S290" s="635">
        <f>S291</f>
        <v>11355600</v>
      </c>
      <c r="T290" s="635">
        <f>T291</f>
        <v>3535625</v>
      </c>
      <c r="U290" s="635">
        <f t="shared" si="125"/>
        <v>14891225</v>
      </c>
      <c r="V290" s="635">
        <f t="shared" si="126"/>
        <v>3579775</v>
      </c>
      <c r="W290" s="635"/>
      <c r="X290" s="635">
        <f>R290-U290</f>
        <v>-550000</v>
      </c>
      <c r="Y290" s="666">
        <f t="shared" si="127"/>
        <v>0.80619484597477131</v>
      </c>
    </row>
    <row r="291" spans="1:25" s="588" customFormat="1" ht="40.5" customHeight="1">
      <c r="A291" s="726">
        <v>7</v>
      </c>
      <c r="B291" s="727" t="s">
        <v>348</v>
      </c>
      <c r="C291" s="727" t="s">
        <v>382</v>
      </c>
      <c r="D291" s="624">
        <v>2</v>
      </c>
      <c r="E291" s="637" t="s">
        <v>350</v>
      </c>
      <c r="F291" s="637" t="s">
        <v>348</v>
      </c>
      <c r="G291" s="624">
        <v>5</v>
      </c>
      <c r="H291" s="624">
        <v>1</v>
      </c>
      <c r="I291" s="637" t="s">
        <v>350</v>
      </c>
      <c r="J291" s="624"/>
      <c r="K291" s="624"/>
      <c r="L291" s="640"/>
      <c r="M291" s="641"/>
      <c r="N291" s="747" t="s">
        <v>489</v>
      </c>
      <c r="O291" s="740">
        <f t="shared" si="128"/>
        <v>18471000</v>
      </c>
      <c r="P291" s="740">
        <f t="shared" si="128"/>
        <v>10029200</v>
      </c>
      <c r="Q291" s="740">
        <f t="shared" si="128"/>
        <v>4312025</v>
      </c>
      <c r="R291" s="595">
        <f t="shared" si="124"/>
        <v>14341225</v>
      </c>
      <c r="S291" s="740">
        <f>S292</f>
        <v>11355600</v>
      </c>
      <c r="T291" s="740">
        <f>T292</f>
        <v>3535625</v>
      </c>
      <c r="U291" s="595">
        <f t="shared" si="125"/>
        <v>14891225</v>
      </c>
      <c r="V291" s="595">
        <f t="shared" si="126"/>
        <v>3579775</v>
      </c>
      <c r="W291" s="595"/>
      <c r="X291" s="595">
        <f t="shared" si="92"/>
        <v>-550000</v>
      </c>
      <c r="Y291" s="597">
        <f t="shared" si="127"/>
        <v>0.80619484597477131</v>
      </c>
    </row>
    <row r="292" spans="1:25" s="588" customFormat="1" ht="40.5" customHeight="1">
      <c r="A292" s="726">
        <v>7</v>
      </c>
      <c r="B292" s="727" t="s">
        <v>348</v>
      </c>
      <c r="C292" s="727" t="s">
        <v>382</v>
      </c>
      <c r="D292" s="624">
        <v>2</v>
      </c>
      <c r="E292" s="637" t="s">
        <v>350</v>
      </c>
      <c r="F292" s="637" t="s">
        <v>348</v>
      </c>
      <c r="G292" s="624">
        <v>5</v>
      </c>
      <c r="H292" s="624">
        <v>1</v>
      </c>
      <c r="I292" s="637" t="s">
        <v>350</v>
      </c>
      <c r="J292" s="637" t="s">
        <v>348</v>
      </c>
      <c r="K292" s="624"/>
      <c r="L292" s="640"/>
      <c r="M292" s="641"/>
      <c r="N292" s="747" t="s">
        <v>398</v>
      </c>
      <c r="O292" s="740">
        <f>O293+O296</f>
        <v>18471000</v>
      </c>
      <c r="P292" s="740">
        <f>P293+P296</f>
        <v>10029200</v>
      </c>
      <c r="Q292" s="740">
        <f>Q293+Q296</f>
        <v>4312025</v>
      </c>
      <c r="R292" s="595">
        <f t="shared" si="124"/>
        <v>14341225</v>
      </c>
      <c r="S292" s="740">
        <f>S293+S296</f>
        <v>11355600</v>
      </c>
      <c r="T292" s="740">
        <f>T293+T296</f>
        <v>3535625</v>
      </c>
      <c r="U292" s="595">
        <f t="shared" si="125"/>
        <v>14891225</v>
      </c>
      <c r="V292" s="595">
        <f t="shared" si="126"/>
        <v>3579775</v>
      </c>
      <c r="W292" s="595"/>
      <c r="X292" s="595">
        <f t="shared" si="92"/>
        <v>-550000</v>
      </c>
      <c r="Y292" s="597">
        <f t="shared" si="127"/>
        <v>0.80619484597477131</v>
      </c>
    </row>
    <row r="293" spans="1:25" s="588" customFormat="1" ht="40.5" customHeight="1">
      <c r="A293" s="726">
        <v>7</v>
      </c>
      <c r="B293" s="727" t="s">
        <v>348</v>
      </c>
      <c r="C293" s="727" t="s">
        <v>382</v>
      </c>
      <c r="D293" s="624">
        <v>2</v>
      </c>
      <c r="E293" s="637" t="s">
        <v>350</v>
      </c>
      <c r="F293" s="637" t="s">
        <v>348</v>
      </c>
      <c r="G293" s="624">
        <v>5</v>
      </c>
      <c r="H293" s="624">
        <v>1</v>
      </c>
      <c r="I293" s="637" t="s">
        <v>350</v>
      </c>
      <c r="J293" s="637" t="s">
        <v>348</v>
      </c>
      <c r="K293" s="637" t="s">
        <v>348</v>
      </c>
      <c r="L293" s="640"/>
      <c r="M293" s="641"/>
      <c r="N293" s="747" t="s">
        <v>379</v>
      </c>
      <c r="O293" s="740">
        <f>SUM(O294:O295)</f>
        <v>9921000</v>
      </c>
      <c r="P293" s="740">
        <f>SUM(P294:P295)</f>
        <v>5729200</v>
      </c>
      <c r="Q293" s="740">
        <f>SUM(Q294:Q295)</f>
        <v>2362025</v>
      </c>
      <c r="R293" s="595">
        <f t="shared" si="124"/>
        <v>8091225</v>
      </c>
      <c r="S293" s="740">
        <f>SUM(S294:S295)</f>
        <v>5955600</v>
      </c>
      <c r="T293" s="740">
        <f>SUM(T294:T295)</f>
        <v>2135625</v>
      </c>
      <c r="U293" s="595">
        <f>S293+T293</f>
        <v>8091225</v>
      </c>
      <c r="V293" s="595">
        <f t="shared" si="126"/>
        <v>1829775</v>
      </c>
      <c r="W293" s="595"/>
      <c r="X293" s="595">
        <f t="shared" si="92"/>
        <v>0</v>
      </c>
      <c r="Y293" s="597">
        <f t="shared" si="127"/>
        <v>0.81556546719080736</v>
      </c>
    </row>
    <row r="294" spans="1:25" s="588" customFormat="1" ht="40.5" customHeight="1">
      <c r="A294" s="728">
        <v>7</v>
      </c>
      <c r="B294" s="729" t="s">
        <v>348</v>
      </c>
      <c r="C294" s="729" t="s">
        <v>382</v>
      </c>
      <c r="D294" s="640">
        <v>2</v>
      </c>
      <c r="E294" s="639" t="s">
        <v>350</v>
      </c>
      <c r="F294" s="639" t="s">
        <v>348</v>
      </c>
      <c r="G294" s="640">
        <v>5</v>
      </c>
      <c r="H294" s="640">
        <v>1</v>
      </c>
      <c r="I294" s="639" t="s">
        <v>350</v>
      </c>
      <c r="J294" s="639" t="s">
        <v>348</v>
      </c>
      <c r="K294" s="639" t="s">
        <v>348</v>
      </c>
      <c r="L294" s="639" t="s">
        <v>384</v>
      </c>
      <c r="M294" s="641">
        <v>6</v>
      </c>
      <c r="N294" s="663" t="s">
        <v>501</v>
      </c>
      <c r="O294" s="742">
        <f>'[1]SPJ FUNGSIONAL '!O301</f>
        <v>400000</v>
      </c>
      <c r="P294" s="644"/>
      <c r="Q294" s="644"/>
      <c r="R294" s="644">
        <f t="shared" si="124"/>
        <v>0</v>
      </c>
      <c r="S294" s="644"/>
      <c r="T294" s="644">
        <f>'[1]SPJ FUNGSIONAL '!Z301</f>
        <v>0</v>
      </c>
      <c r="U294" s="644">
        <f t="shared" si="125"/>
        <v>0</v>
      </c>
      <c r="V294" s="644">
        <f t="shared" si="126"/>
        <v>400000</v>
      </c>
      <c r="W294" s="644"/>
      <c r="X294" s="644">
        <f t="shared" si="92"/>
        <v>0</v>
      </c>
      <c r="Y294" s="646">
        <f t="shared" si="127"/>
        <v>0</v>
      </c>
    </row>
    <row r="295" spans="1:25" s="588" customFormat="1" ht="40.5" customHeight="1">
      <c r="A295" s="728">
        <v>7</v>
      </c>
      <c r="B295" s="729" t="s">
        <v>348</v>
      </c>
      <c r="C295" s="729" t="s">
        <v>382</v>
      </c>
      <c r="D295" s="640">
        <v>2</v>
      </c>
      <c r="E295" s="639" t="s">
        <v>350</v>
      </c>
      <c r="F295" s="639" t="s">
        <v>348</v>
      </c>
      <c r="G295" s="640">
        <v>5</v>
      </c>
      <c r="H295" s="640">
        <v>1</v>
      </c>
      <c r="I295" s="639" t="s">
        <v>350</v>
      </c>
      <c r="J295" s="639" t="s">
        <v>348</v>
      </c>
      <c r="K295" s="639" t="s">
        <v>348</v>
      </c>
      <c r="L295" s="639" t="s">
        <v>393</v>
      </c>
      <c r="M295" s="754">
        <v>2</v>
      </c>
      <c r="N295" s="741" t="s">
        <v>492</v>
      </c>
      <c r="O295" s="742">
        <f>'[1]SPJ FUNGSIONAL '!O302</f>
        <v>9521000</v>
      </c>
      <c r="P295" s="644">
        <f>'[2]LRA SP2D'!$R$295</f>
        <v>5729200</v>
      </c>
      <c r="Q295" s="644">
        <v>2362025</v>
      </c>
      <c r="R295" s="644">
        <f t="shared" si="124"/>
        <v>8091225</v>
      </c>
      <c r="S295" s="644">
        <f>'[1]SPJ FUNGSIONAL '!Y302</f>
        <v>5955600</v>
      </c>
      <c r="T295" s="644">
        <f>'[1]SPJ FUNGSIONAL '!Z302</f>
        <v>2135625</v>
      </c>
      <c r="U295" s="644">
        <f t="shared" si="125"/>
        <v>8091225</v>
      </c>
      <c r="V295" s="644">
        <f t="shared" si="126"/>
        <v>1429775</v>
      </c>
      <c r="W295" s="644">
        <f t="shared" ref="W295" si="129">R295-U295</f>
        <v>0</v>
      </c>
      <c r="X295" s="644">
        <f t="shared" si="92"/>
        <v>0</v>
      </c>
      <c r="Y295" s="646">
        <f t="shared" si="127"/>
        <v>0.84982932465077199</v>
      </c>
    </row>
    <row r="296" spans="1:25" s="588" customFormat="1" ht="40.5" customHeight="1">
      <c r="A296" s="726">
        <v>7</v>
      </c>
      <c r="B296" s="727" t="s">
        <v>348</v>
      </c>
      <c r="C296" s="727" t="s">
        <v>382</v>
      </c>
      <c r="D296" s="624">
        <v>2</v>
      </c>
      <c r="E296" s="637" t="s">
        <v>350</v>
      </c>
      <c r="F296" s="637" t="s">
        <v>348</v>
      </c>
      <c r="G296" s="624">
        <v>5</v>
      </c>
      <c r="H296" s="624">
        <v>1</v>
      </c>
      <c r="I296" s="637" t="s">
        <v>350</v>
      </c>
      <c r="J296" s="637" t="s">
        <v>382</v>
      </c>
      <c r="K296" s="624"/>
      <c r="L296" s="640"/>
      <c r="M296" s="641"/>
      <c r="N296" s="747" t="s">
        <v>400</v>
      </c>
      <c r="O296" s="740">
        <f>O297</f>
        <v>8550000</v>
      </c>
      <c r="P296" s="740">
        <f t="shared" ref="P296:Q297" si="130">P297</f>
        <v>4300000</v>
      </c>
      <c r="Q296" s="740">
        <f t="shared" si="130"/>
        <v>1950000</v>
      </c>
      <c r="R296" s="595">
        <f t="shared" si="124"/>
        <v>6250000</v>
      </c>
      <c r="S296" s="740">
        <f t="shared" ref="S296:T297" si="131">S297</f>
        <v>5400000</v>
      </c>
      <c r="T296" s="740">
        <f t="shared" si="131"/>
        <v>1400000</v>
      </c>
      <c r="U296" s="595">
        <f t="shared" si="125"/>
        <v>6800000</v>
      </c>
      <c r="V296" s="595">
        <f t="shared" si="126"/>
        <v>1750000</v>
      </c>
      <c r="W296" s="595"/>
      <c r="X296" s="595">
        <f t="shared" si="92"/>
        <v>-550000</v>
      </c>
      <c r="Y296" s="597">
        <f t="shared" si="127"/>
        <v>0.79532163742690054</v>
      </c>
    </row>
    <row r="297" spans="1:25" s="588" customFormat="1" ht="40.5" customHeight="1">
      <c r="A297" s="726">
        <v>7</v>
      </c>
      <c r="B297" s="727" t="s">
        <v>348</v>
      </c>
      <c r="C297" s="727" t="s">
        <v>382</v>
      </c>
      <c r="D297" s="624">
        <v>2</v>
      </c>
      <c r="E297" s="637" t="s">
        <v>350</v>
      </c>
      <c r="F297" s="637" t="s">
        <v>348</v>
      </c>
      <c r="G297" s="624">
        <v>5</v>
      </c>
      <c r="H297" s="624">
        <v>1</v>
      </c>
      <c r="I297" s="637" t="s">
        <v>350</v>
      </c>
      <c r="J297" s="637" t="s">
        <v>382</v>
      </c>
      <c r="K297" s="637" t="s">
        <v>348</v>
      </c>
      <c r="L297" s="640"/>
      <c r="M297" s="641"/>
      <c r="N297" s="747" t="s">
        <v>401</v>
      </c>
      <c r="O297" s="740">
        <f>O298</f>
        <v>8550000</v>
      </c>
      <c r="P297" s="740">
        <f t="shared" si="130"/>
        <v>4300000</v>
      </c>
      <c r="Q297" s="740">
        <f t="shared" si="130"/>
        <v>1950000</v>
      </c>
      <c r="R297" s="595">
        <f t="shared" si="124"/>
        <v>6250000</v>
      </c>
      <c r="S297" s="740">
        <f t="shared" si="131"/>
        <v>5400000</v>
      </c>
      <c r="T297" s="740">
        <f t="shared" si="131"/>
        <v>1400000</v>
      </c>
      <c r="U297" s="595">
        <f t="shared" si="125"/>
        <v>6800000</v>
      </c>
      <c r="V297" s="595">
        <f t="shared" si="126"/>
        <v>1750000</v>
      </c>
      <c r="W297" s="595"/>
      <c r="X297" s="595">
        <f t="shared" ref="X297:X320" si="132">R297-U297</f>
        <v>-550000</v>
      </c>
      <c r="Y297" s="597">
        <f t="shared" si="127"/>
        <v>0.79532163742690054</v>
      </c>
    </row>
    <row r="298" spans="1:25" s="588" customFormat="1" ht="40.5" customHeight="1">
      <c r="A298" s="728">
        <v>7</v>
      </c>
      <c r="B298" s="729" t="s">
        <v>348</v>
      </c>
      <c r="C298" s="729" t="s">
        <v>382</v>
      </c>
      <c r="D298" s="640">
        <v>2</v>
      </c>
      <c r="E298" s="639" t="s">
        <v>350</v>
      </c>
      <c r="F298" s="639" t="s">
        <v>348</v>
      </c>
      <c r="G298" s="640">
        <v>5</v>
      </c>
      <c r="H298" s="640">
        <v>1</v>
      </c>
      <c r="I298" s="639" t="s">
        <v>350</v>
      </c>
      <c r="J298" s="639" t="s">
        <v>382</v>
      </c>
      <c r="K298" s="639" t="s">
        <v>348</v>
      </c>
      <c r="L298" s="639" t="s">
        <v>354</v>
      </c>
      <c r="M298" s="641">
        <v>3</v>
      </c>
      <c r="N298" s="741" t="s">
        <v>520</v>
      </c>
      <c r="O298" s="742">
        <f>'[1]SPJ FUNGSIONAL '!O305</f>
        <v>8550000</v>
      </c>
      <c r="P298" s="644">
        <f>'[2]LRA SP2D'!$R$298</f>
        <v>4300000</v>
      </c>
      <c r="Q298" s="644">
        <v>1950000</v>
      </c>
      <c r="R298" s="644">
        <f t="shared" si="124"/>
        <v>6250000</v>
      </c>
      <c r="S298" s="644">
        <f>'[1]SPJ FUNGSIONAL '!Y305</f>
        <v>5400000</v>
      </c>
      <c r="T298" s="644">
        <f>'[1]SPJ FUNGSIONAL '!Z305</f>
        <v>1400000</v>
      </c>
      <c r="U298" s="644">
        <f t="shared" si="125"/>
        <v>6800000</v>
      </c>
      <c r="V298" s="644">
        <f t="shared" si="126"/>
        <v>1750000</v>
      </c>
      <c r="W298" s="644"/>
      <c r="X298" s="644">
        <f t="shared" si="132"/>
        <v>-550000</v>
      </c>
      <c r="Y298" s="646">
        <f t="shared" si="127"/>
        <v>0.79532163742690054</v>
      </c>
    </row>
    <row r="299" spans="1:25" s="588" customFormat="1" ht="25" customHeight="1">
      <c r="A299" s="609"/>
      <c r="B299" s="610"/>
      <c r="C299" s="610"/>
      <c r="D299" s="752"/>
      <c r="E299" s="752"/>
      <c r="F299" s="752"/>
      <c r="G299" s="752"/>
      <c r="H299" s="752"/>
      <c r="I299" s="752"/>
      <c r="J299" s="752"/>
      <c r="K299" s="752"/>
      <c r="L299" s="753"/>
      <c r="M299" s="754"/>
      <c r="N299" s="747"/>
      <c r="O299" s="742"/>
      <c r="P299" s="644"/>
      <c r="Q299" s="644"/>
      <c r="R299" s="644"/>
      <c r="S299" s="644"/>
      <c r="T299" s="644"/>
      <c r="U299" s="644"/>
      <c r="V299" s="644"/>
      <c r="W299" s="644"/>
      <c r="X299" s="644"/>
      <c r="Y299" s="646"/>
    </row>
    <row r="300" spans="1:25" s="588" customFormat="1" ht="40.5" customHeight="1">
      <c r="A300" s="706">
        <v>7</v>
      </c>
      <c r="B300" s="707" t="s">
        <v>348</v>
      </c>
      <c r="C300" s="707" t="s">
        <v>359</v>
      </c>
      <c r="D300" s="708"/>
      <c r="E300" s="708"/>
      <c r="F300" s="708"/>
      <c r="G300" s="708"/>
      <c r="H300" s="708"/>
      <c r="I300" s="708"/>
      <c r="J300" s="708"/>
      <c r="K300" s="708"/>
      <c r="L300" s="708"/>
      <c r="M300" s="709"/>
      <c r="N300" s="710" t="s">
        <v>212</v>
      </c>
      <c r="O300" s="711">
        <f>O302</f>
        <v>15439700</v>
      </c>
      <c r="P300" s="762">
        <f>P302</f>
        <v>11801600</v>
      </c>
      <c r="Q300" s="762">
        <f>Q302</f>
        <v>0</v>
      </c>
      <c r="R300" s="712">
        <f t="shared" si="124"/>
        <v>11801600</v>
      </c>
      <c r="S300" s="762">
        <f>S302</f>
        <v>11801600</v>
      </c>
      <c r="T300" s="762">
        <f>T302</f>
        <v>0</v>
      </c>
      <c r="U300" s="712">
        <f t="shared" si="125"/>
        <v>11801600</v>
      </c>
      <c r="V300" s="712">
        <f t="shared" si="126"/>
        <v>3638100</v>
      </c>
      <c r="W300" s="712"/>
      <c r="X300" s="712">
        <f t="shared" si="132"/>
        <v>0</v>
      </c>
      <c r="Y300" s="713">
        <f t="shared" si="127"/>
        <v>0.76436718330019371</v>
      </c>
    </row>
    <row r="301" spans="1:25" s="588" customFormat="1" ht="25" customHeight="1">
      <c r="A301" s="703"/>
      <c r="B301" s="704"/>
      <c r="C301" s="704"/>
      <c r="D301" s="704"/>
      <c r="E301" s="704"/>
      <c r="F301" s="704"/>
      <c r="G301" s="704"/>
      <c r="H301" s="704"/>
      <c r="I301" s="704"/>
      <c r="J301" s="704"/>
      <c r="K301" s="704"/>
      <c r="L301" s="704"/>
      <c r="M301" s="698"/>
      <c r="N301" s="705"/>
      <c r="O301" s="691"/>
      <c r="P301" s="719"/>
      <c r="Q301" s="719"/>
      <c r="R301" s="595"/>
      <c r="S301" s="719"/>
      <c r="T301" s="719"/>
      <c r="U301" s="595"/>
      <c r="V301" s="595"/>
      <c r="W301" s="595"/>
      <c r="X301" s="595"/>
      <c r="Y301" s="597"/>
    </row>
    <row r="302" spans="1:25" s="588" customFormat="1" ht="53.25" customHeight="1">
      <c r="A302" s="714">
        <v>7</v>
      </c>
      <c r="B302" s="715" t="s">
        <v>348</v>
      </c>
      <c r="C302" s="715" t="s">
        <v>359</v>
      </c>
      <c r="D302" s="715" t="s">
        <v>397</v>
      </c>
      <c r="E302" s="715" t="s">
        <v>348</v>
      </c>
      <c r="F302" s="716"/>
      <c r="G302" s="716"/>
      <c r="H302" s="716"/>
      <c r="I302" s="716"/>
      <c r="J302" s="716"/>
      <c r="K302" s="716"/>
      <c r="L302" s="716"/>
      <c r="M302" s="730"/>
      <c r="N302" s="618" t="s">
        <v>521</v>
      </c>
      <c r="O302" s="731">
        <f>O304+O312</f>
        <v>15439700</v>
      </c>
      <c r="P302" s="736">
        <f>P304+P312</f>
        <v>11801600</v>
      </c>
      <c r="Q302" s="736">
        <f>Q304+Q312</f>
        <v>0</v>
      </c>
      <c r="R302" s="620">
        <f t="shared" si="124"/>
        <v>11801600</v>
      </c>
      <c r="S302" s="736">
        <f>S304+S312</f>
        <v>11801600</v>
      </c>
      <c r="T302" s="736">
        <f>T304+T312</f>
        <v>0</v>
      </c>
      <c r="U302" s="620">
        <f t="shared" si="125"/>
        <v>11801600</v>
      </c>
      <c r="V302" s="620">
        <f t="shared" si="126"/>
        <v>3638100</v>
      </c>
      <c r="W302" s="620"/>
      <c r="X302" s="620">
        <f t="shared" si="132"/>
        <v>0</v>
      </c>
      <c r="Y302" s="621">
        <f t="shared" si="127"/>
        <v>0.76436718330019371</v>
      </c>
    </row>
    <row r="303" spans="1:25" s="588" customFormat="1" ht="25" customHeight="1">
      <c r="A303" s="732"/>
      <c r="B303" s="733"/>
      <c r="C303" s="733"/>
      <c r="D303" s="733"/>
      <c r="E303" s="733"/>
      <c r="F303" s="733"/>
      <c r="G303" s="733"/>
      <c r="H303" s="733"/>
      <c r="I303" s="733"/>
      <c r="J303" s="733"/>
      <c r="K303" s="733"/>
      <c r="L303" s="733"/>
      <c r="M303" s="734"/>
      <c r="N303" s="592"/>
      <c r="O303" s="612"/>
      <c r="P303" s="613"/>
      <c r="Q303" s="613"/>
      <c r="R303" s="595"/>
      <c r="S303" s="613"/>
      <c r="T303" s="613"/>
      <c r="U303" s="595"/>
      <c r="V303" s="595"/>
      <c r="W303" s="595"/>
      <c r="X303" s="595"/>
      <c r="Y303" s="597"/>
    </row>
    <row r="304" spans="1:25" s="588" customFormat="1" ht="87.75" customHeight="1">
      <c r="A304" s="720">
        <v>7</v>
      </c>
      <c r="B304" s="721" t="s">
        <v>348</v>
      </c>
      <c r="C304" s="721" t="s">
        <v>359</v>
      </c>
      <c r="D304" s="631">
        <v>2</v>
      </c>
      <c r="E304" s="630" t="s">
        <v>348</v>
      </c>
      <c r="F304" s="630" t="s">
        <v>382</v>
      </c>
      <c r="G304" s="755"/>
      <c r="H304" s="755"/>
      <c r="I304" s="755"/>
      <c r="J304" s="755"/>
      <c r="K304" s="755"/>
      <c r="L304" s="755"/>
      <c r="M304" s="756"/>
      <c r="N304" s="665" t="s">
        <v>522</v>
      </c>
      <c r="O304" s="634">
        <f t="shared" ref="O304:V306" si="133">O305</f>
        <v>6000000</v>
      </c>
      <c r="P304" s="634">
        <f t="shared" si="133"/>
        <v>2720800</v>
      </c>
      <c r="Q304" s="634">
        <f t="shared" si="133"/>
        <v>0</v>
      </c>
      <c r="R304" s="634">
        <f t="shared" si="133"/>
        <v>2720800</v>
      </c>
      <c r="S304" s="634">
        <f>S305</f>
        <v>2720800</v>
      </c>
      <c r="T304" s="634">
        <f>T305</f>
        <v>0</v>
      </c>
      <c r="U304" s="634">
        <f t="shared" si="133"/>
        <v>2720800</v>
      </c>
      <c r="V304" s="634">
        <f t="shared" si="133"/>
        <v>3279200</v>
      </c>
      <c r="W304" s="635"/>
      <c r="X304" s="635">
        <f>R304-U304</f>
        <v>0</v>
      </c>
      <c r="Y304" s="666">
        <f t="shared" si="127"/>
        <v>0.45346666666666668</v>
      </c>
    </row>
    <row r="305" spans="1:31" s="588" customFormat="1" ht="28.5" customHeight="1">
      <c r="A305" s="726">
        <v>7</v>
      </c>
      <c r="B305" s="727" t="s">
        <v>348</v>
      </c>
      <c r="C305" s="727" t="s">
        <v>359</v>
      </c>
      <c r="D305" s="624">
        <v>2</v>
      </c>
      <c r="E305" s="637" t="s">
        <v>348</v>
      </c>
      <c r="F305" s="637" t="s">
        <v>382</v>
      </c>
      <c r="G305" s="624">
        <v>5</v>
      </c>
      <c r="H305" s="624">
        <v>1</v>
      </c>
      <c r="I305" s="637" t="s">
        <v>350</v>
      </c>
      <c r="J305" s="624"/>
      <c r="K305" s="624"/>
      <c r="L305" s="640"/>
      <c r="M305" s="641"/>
      <c r="N305" s="747" t="s">
        <v>489</v>
      </c>
      <c r="O305" s="740">
        <f>O306</f>
        <v>6000000</v>
      </c>
      <c r="P305" s="740">
        <f t="shared" si="133"/>
        <v>2720800</v>
      </c>
      <c r="Q305" s="740">
        <f t="shared" si="133"/>
        <v>0</v>
      </c>
      <c r="R305" s="740">
        <f>P305+Q305</f>
        <v>2720800</v>
      </c>
      <c r="S305" s="740">
        <f>S306</f>
        <v>2720800</v>
      </c>
      <c r="T305" s="740">
        <f>T306</f>
        <v>0</v>
      </c>
      <c r="U305" s="740">
        <f>SUM(S305:T305)</f>
        <v>2720800</v>
      </c>
      <c r="V305" s="740">
        <f t="shared" si="133"/>
        <v>3279200</v>
      </c>
      <c r="W305" s="595"/>
      <c r="X305" s="595">
        <f t="shared" si="132"/>
        <v>0</v>
      </c>
      <c r="Y305" s="597">
        <f t="shared" si="127"/>
        <v>0.45346666666666668</v>
      </c>
    </row>
    <row r="306" spans="1:31" s="588" customFormat="1" ht="28.5" customHeight="1">
      <c r="A306" s="726">
        <v>7</v>
      </c>
      <c r="B306" s="727" t="s">
        <v>348</v>
      </c>
      <c r="C306" s="727" t="s">
        <v>359</v>
      </c>
      <c r="D306" s="624">
        <v>2</v>
      </c>
      <c r="E306" s="637" t="s">
        <v>348</v>
      </c>
      <c r="F306" s="637" t="s">
        <v>382</v>
      </c>
      <c r="G306" s="624">
        <v>5</v>
      </c>
      <c r="H306" s="624">
        <v>1</v>
      </c>
      <c r="I306" s="637" t="s">
        <v>350</v>
      </c>
      <c r="J306" s="637" t="s">
        <v>348</v>
      </c>
      <c r="K306" s="624"/>
      <c r="L306" s="640"/>
      <c r="M306" s="641"/>
      <c r="N306" s="747" t="s">
        <v>398</v>
      </c>
      <c r="O306" s="740">
        <f>O307</f>
        <v>6000000</v>
      </c>
      <c r="P306" s="740">
        <f t="shared" si="133"/>
        <v>2720800</v>
      </c>
      <c r="Q306" s="740">
        <f>Q307</f>
        <v>0</v>
      </c>
      <c r="R306" s="740">
        <f t="shared" si="133"/>
        <v>2720800</v>
      </c>
      <c r="S306" s="740">
        <f t="shared" si="133"/>
        <v>2720800</v>
      </c>
      <c r="T306" s="740">
        <f t="shared" si="133"/>
        <v>0</v>
      </c>
      <c r="U306" s="740">
        <f t="shared" si="133"/>
        <v>2720800</v>
      </c>
      <c r="V306" s="740">
        <f t="shared" si="133"/>
        <v>3279200</v>
      </c>
      <c r="W306" s="595"/>
      <c r="X306" s="595">
        <f t="shared" si="132"/>
        <v>0</v>
      </c>
      <c r="Y306" s="597">
        <f t="shared" si="127"/>
        <v>0.45346666666666668</v>
      </c>
    </row>
    <row r="307" spans="1:31" s="588" customFormat="1" ht="28.5" customHeight="1">
      <c r="A307" s="726">
        <v>7</v>
      </c>
      <c r="B307" s="727" t="s">
        <v>348</v>
      </c>
      <c r="C307" s="727" t="s">
        <v>359</v>
      </c>
      <c r="D307" s="624">
        <v>2</v>
      </c>
      <c r="E307" s="637" t="s">
        <v>348</v>
      </c>
      <c r="F307" s="637" t="s">
        <v>382</v>
      </c>
      <c r="G307" s="624">
        <v>5</v>
      </c>
      <c r="H307" s="624">
        <v>1</v>
      </c>
      <c r="I307" s="637" t="s">
        <v>350</v>
      </c>
      <c r="J307" s="637" t="s">
        <v>348</v>
      </c>
      <c r="K307" s="637" t="s">
        <v>348</v>
      </c>
      <c r="L307" s="640"/>
      <c r="M307" s="641"/>
      <c r="N307" s="747" t="s">
        <v>379</v>
      </c>
      <c r="O307" s="740">
        <f>SUM(O308:O310)</f>
        <v>6000000</v>
      </c>
      <c r="P307" s="740">
        <f>SUM(P308:P310)</f>
        <v>2720800</v>
      </c>
      <c r="Q307" s="740">
        <f>SUM(Q308:Q310)</f>
        <v>0</v>
      </c>
      <c r="R307" s="595">
        <f>P307+Q307</f>
        <v>2720800</v>
      </c>
      <c r="S307" s="740">
        <f>SUM(S308:S310)</f>
        <v>2720800</v>
      </c>
      <c r="T307" s="740">
        <f>SUM(T308:T310)</f>
        <v>0</v>
      </c>
      <c r="U307" s="595">
        <f t="shared" ref="U307:U320" si="134">S307+T307</f>
        <v>2720800</v>
      </c>
      <c r="V307" s="595">
        <f>O307-U307</f>
        <v>3279200</v>
      </c>
      <c r="W307" s="595"/>
      <c r="X307" s="595">
        <f t="shared" si="132"/>
        <v>0</v>
      </c>
      <c r="Y307" s="597">
        <f t="shared" si="127"/>
        <v>0.45346666666666668</v>
      </c>
      <c r="AE307" s="622">
        <f>R15</f>
        <v>16884584592.200001</v>
      </c>
    </row>
    <row r="308" spans="1:31" s="588" customFormat="1" ht="39.75" customHeight="1">
      <c r="A308" s="728">
        <v>7</v>
      </c>
      <c r="B308" s="729" t="s">
        <v>348</v>
      </c>
      <c r="C308" s="735" t="s">
        <v>523</v>
      </c>
      <c r="D308" s="640">
        <v>2</v>
      </c>
      <c r="E308" s="639" t="s">
        <v>348</v>
      </c>
      <c r="F308" s="639" t="s">
        <v>382</v>
      </c>
      <c r="G308" s="640">
        <v>5</v>
      </c>
      <c r="H308" s="640">
        <v>1</v>
      </c>
      <c r="I308" s="639" t="s">
        <v>350</v>
      </c>
      <c r="J308" s="639" t="s">
        <v>348</v>
      </c>
      <c r="K308" s="639" t="s">
        <v>348</v>
      </c>
      <c r="L308" s="639" t="s">
        <v>384</v>
      </c>
      <c r="M308" s="641">
        <v>6</v>
      </c>
      <c r="N308" s="663" t="s">
        <v>501</v>
      </c>
      <c r="O308" s="742">
        <f>'[1]SPJ FUNGSIONAL '!O315</f>
        <v>0</v>
      </c>
      <c r="P308" s="644">
        <f t="shared" ref="P308:Q310" si="135">S308</f>
        <v>0</v>
      </c>
      <c r="Q308" s="644">
        <f t="shared" si="135"/>
        <v>0</v>
      </c>
      <c r="R308" s="644">
        <f t="shared" ref="R308:R320" si="136">P308+Q308</f>
        <v>0</v>
      </c>
      <c r="S308" s="644">
        <f>'[1]SPJ FUNGSIONAL '!Y315</f>
        <v>0</v>
      </c>
      <c r="T308" s="644">
        <f>'[1]SPJ FUNGSIONAL '!Z315</f>
        <v>0</v>
      </c>
      <c r="U308" s="644">
        <f>SUM(S308:T308)</f>
        <v>0</v>
      </c>
      <c r="V308" s="644">
        <f t="shared" ref="V308:V320" si="137">O308-U308</f>
        <v>0</v>
      </c>
      <c r="W308" s="644"/>
      <c r="X308" s="644">
        <f t="shared" si="132"/>
        <v>0</v>
      </c>
      <c r="Y308" s="646">
        <v>0</v>
      </c>
      <c r="AE308" s="588">
        <f>'[1]SPJ FUNGSIONAL '!AB330</f>
        <v>16884584592.200001</v>
      </c>
    </row>
    <row r="309" spans="1:31" s="588" customFormat="1" ht="39.75" customHeight="1">
      <c r="A309" s="728">
        <v>7</v>
      </c>
      <c r="B309" s="729" t="s">
        <v>348</v>
      </c>
      <c r="C309" s="729" t="s">
        <v>359</v>
      </c>
      <c r="D309" s="640">
        <v>2</v>
      </c>
      <c r="E309" s="639" t="s">
        <v>348</v>
      </c>
      <c r="F309" s="639" t="s">
        <v>382</v>
      </c>
      <c r="G309" s="640">
        <v>5</v>
      </c>
      <c r="H309" s="640">
        <v>1</v>
      </c>
      <c r="I309" s="639" t="s">
        <v>350</v>
      </c>
      <c r="J309" s="639" t="s">
        <v>348</v>
      </c>
      <c r="K309" s="639" t="s">
        <v>348</v>
      </c>
      <c r="L309" s="639" t="s">
        <v>380</v>
      </c>
      <c r="M309" s="754">
        <v>5</v>
      </c>
      <c r="N309" s="663" t="s">
        <v>503</v>
      </c>
      <c r="O309" s="742">
        <f>'[1]SPJ FUNGSIONAL '!O316</f>
        <v>6000000</v>
      </c>
      <c r="P309" s="644">
        <f>S309</f>
        <v>2720800</v>
      </c>
      <c r="Q309" s="644"/>
      <c r="R309" s="644">
        <f t="shared" si="136"/>
        <v>2720800</v>
      </c>
      <c r="S309" s="644">
        <f>'[1]SPJ FUNGSIONAL '!Y316</f>
        <v>2720800</v>
      </c>
      <c r="T309" s="644">
        <f>'[1]SPJ FUNGSIONAL '!Z316</f>
        <v>0</v>
      </c>
      <c r="U309" s="644">
        <f>SUM(S309:T309)</f>
        <v>2720800</v>
      </c>
      <c r="V309" s="644">
        <f t="shared" si="137"/>
        <v>3279200</v>
      </c>
      <c r="W309" s="644"/>
      <c r="X309" s="644">
        <f t="shared" si="132"/>
        <v>0</v>
      </c>
      <c r="Y309" s="646">
        <f t="shared" si="127"/>
        <v>0.45346666666666668</v>
      </c>
      <c r="AE309" s="622">
        <f>AE307-AE308</f>
        <v>0</v>
      </c>
    </row>
    <row r="310" spans="1:31" s="588" customFormat="1" ht="36" customHeight="1">
      <c r="A310" s="728">
        <v>7</v>
      </c>
      <c r="B310" s="729" t="s">
        <v>348</v>
      </c>
      <c r="C310" s="729" t="s">
        <v>359</v>
      </c>
      <c r="D310" s="640">
        <v>2</v>
      </c>
      <c r="E310" s="639" t="s">
        <v>348</v>
      </c>
      <c r="F310" s="639" t="s">
        <v>382</v>
      </c>
      <c r="G310" s="640">
        <v>5</v>
      </c>
      <c r="H310" s="640">
        <v>1</v>
      </c>
      <c r="I310" s="639" t="s">
        <v>350</v>
      </c>
      <c r="J310" s="639" t="s">
        <v>348</v>
      </c>
      <c r="K310" s="639" t="s">
        <v>348</v>
      </c>
      <c r="L310" s="639" t="s">
        <v>393</v>
      </c>
      <c r="M310" s="754">
        <v>3</v>
      </c>
      <c r="N310" s="741" t="s">
        <v>525</v>
      </c>
      <c r="O310" s="742">
        <f>'[1]SPJ FUNGSIONAL '!O317</f>
        <v>0</v>
      </c>
      <c r="P310" s="644">
        <f t="shared" si="135"/>
        <v>0</v>
      </c>
      <c r="Q310" s="644">
        <f t="shared" si="135"/>
        <v>0</v>
      </c>
      <c r="R310" s="644">
        <f t="shared" si="136"/>
        <v>0</v>
      </c>
      <c r="S310" s="644">
        <f>'[1]SPJ FUNGSIONAL '!Y317</f>
        <v>0</v>
      </c>
      <c r="T310" s="644">
        <f>'[1]SPJ FUNGSIONAL '!Z317</f>
        <v>0</v>
      </c>
      <c r="U310" s="644">
        <f t="shared" si="134"/>
        <v>0</v>
      </c>
      <c r="V310" s="644">
        <f t="shared" si="137"/>
        <v>0</v>
      </c>
      <c r="W310" s="644">
        <f t="shared" ref="W310" si="138">R310-U310</f>
        <v>0</v>
      </c>
      <c r="X310" s="644">
        <f t="shared" si="132"/>
        <v>0</v>
      </c>
      <c r="Y310" s="646">
        <v>0</v>
      </c>
    </row>
    <row r="311" spans="1:31" s="588" customFormat="1" ht="25" customHeight="1">
      <c r="A311" s="726"/>
      <c r="B311" s="763"/>
      <c r="C311" s="763"/>
      <c r="D311" s="624"/>
      <c r="E311" s="624"/>
      <c r="F311" s="624"/>
      <c r="G311" s="624"/>
      <c r="H311" s="624"/>
      <c r="I311" s="624"/>
      <c r="J311" s="624"/>
      <c r="K311" s="624"/>
      <c r="L311" s="640"/>
      <c r="M311" s="641"/>
      <c r="N311" s="747"/>
      <c r="O311" s="740"/>
      <c r="P311" s="644"/>
      <c r="Q311" s="644"/>
      <c r="R311" s="644"/>
      <c r="S311" s="644"/>
      <c r="T311" s="644"/>
      <c r="U311" s="644"/>
      <c r="V311" s="644"/>
      <c r="W311" s="644"/>
      <c r="X311" s="644"/>
      <c r="Y311" s="646"/>
    </row>
    <row r="312" spans="1:31" s="588" customFormat="1" ht="47.25" customHeight="1">
      <c r="A312" s="720">
        <v>7</v>
      </c>
      <c r="B312" s="721" t="s">
        <v>348</v>
      </c>
      <c r="C312" s="721" t="s">
        <v>359</v>
      </c>
      <c r="D312" s="631">
        <v>2</v>
      </c>
      <c r="E312" s="630" t="s">
        <v>348</v>
      </c>
      <c r="F312" s="630" t="s">
        <v>365</v>
      </c>
      <c r="G312" s="755"/>
      <c r="H312" s="755"/>
      <c r="I312" s="755"/>
      <c r="J312" s="755"/>
      <c r="K312" s="755"/>
      <c r="L312" s="755"/>
      <c r="M312" s="756"/>
      <c r="N312" s="665" t="s">
        <v>531</v>
      </c>
      <c r="O312" s="634">
        <f t="shared" ref="O312:Q312" si="139">O313</f>
        <v>9439700</v>
      </c>
      <c r="P312" s="635">
        <f>P313</f>
        <v>9080800</v>
      </c>
      <c r="Q312" s="635">
        <f t="shared" si="139"/>
        <v>0</v>
      </c>
      <c r="R312" s="635">
        <f t="shared" si="136"/>
        <v>9080800</v>
      </c>
      <c r="S312" s="635">
        <f>S313</f>
        <v>9080800</v>
      </c>
      <c r="T312" s="635">
        <f>T313</f>
        <v>0</v>
      </c>
      <c r="U312" s="635">
        <f t="shared" si="134"/>
        <v>9080800</v>
      </c>
      <c r="V312" s="635">
        <f t="shared" si="137"/>
        <v>358900</v>
      </c>
      <c r="W312" s="635"/>
      <c r="X312" s="635">
        <f t="shared" si="132"/>
        <v>0</v>
      </c>
      <c r="Y312" s="666">
        <f t="shared" si="127"/>
        <v>0.96197972393190456</v>
      </c>
    </row>
    <row r="313" spans="1:31" s="588" customFormat="1" ht="35.25" customHeight="1">
      <c r="A313" s="726">
        <v>7</v>
      </c>
      <c r="B313" s="727" t="s">
        <v>348</v>
      </c>
      <c r="C313" s="727" t="s">
        <v>359</v>
      </c>
      <c r="D313" s="624">
        <v>2</v>
      </c>
      <c r="E313" s="637" t="s">
        <v>348</v>
      </c>
      <c r="F313" s="637" t="s">
        <v>365</v>
      </c>
      <c r="G313" s="624">
        <v>5</v>
      </c>
      <c r="H313" s="624">
        <v>1</v>
      </c>
      <c r="I313" s="637" t="s">
        <v>350</v>
      </c>
      <c r="J313" s="624"/>
      <c r="K313" s="624"/>
      <c r="L313" s="640"/>
      <c r="M313" s="641"/>
      <c r="N313" s="747" t="s">
        <v>489</v>
      </c>
      <c r="O313" s="740">
        <f>O314+O318</f>
        <v>9439700</v>
      </c>
      <c r="P313" s="740">
        <f>P314+P318</f>
        <v>9080800</v>
      </c>
      <c r="Q313" s="740">
        <f>Q314+Q318</f>
        <v>0</v>
      </c>
      <c r="R313" s="595">
        <f>P313+Q313</f>
        <v>9080800</v>
      </c>
      <c r="S313" s="740">
        <f>S314+S318</f>
        <v>9080800</v>
      </c>
      <c r="T313" s="740">
        <f>T314+T318</f>
        <v>0</v>
      </c>
      <c r="U313" s="595">
        <f t="shared" si="134"/>
        <v>9080800</v>
      </c>
      <c r="V313" s="595">
        <f t="shared" si="137"/>
        <v>358900</v>
      </c>
      <c r="W313" s="595"/>
      <c r="X313" s="595">
        <f t="shared" si="132"/>
        <v>0</v>
      </c>
      <c r="Y313" s="597">
        <f t="shared" si="127"/>
        <v>0.96197972393190456</v>
      </c>
    </row>
    <row r="314" spans="1:31" s="588" customFormat="1" ht="35.25" customHeight="1">
      <c r="A314" s="726">
        <v>7</v>
      </c>
      <c r="B314" s="727" t="s">
        <v>348</v>
      </c>
      <c r="C314" s="727" t="s">
        <v>359</v>
      </c>
      <c r="D314" s="624">
        <v>2</v>
      </c>
      <c r="E314" s="637" t="s">
        <v>348</v>
      </c>
      <c r="F314" s="637" t="s">
        <v>365</v>
      </c>
      <c r="G314" s="624">
        <v>5</v>
      </c>
      <c r="H314" s="624">
        <v>1</v>
      </c>
      <c r="I314" s="637" t="s">
        <v>350</v>
      </c>
      <c r="J314" s="637" t="s">
        <v>348</v>
      </c>
      <c r="K314" s="624"/>
      <c r="L314" s="640"/>
      <c r="M314" s="641"/>
      <c r="N314" s="747" t="s">
        <v>398</v>
      </c>
      <c r="O314" s="740">
        <f>O315</f>
        <v>6239700</v>
      </c>
      <c r="P314" s="740">
        <f>P315</f>
        <v>5880800</v>
      </c>
      <c r="Q314" s="740">
        <f>Q315</f>
        <v>0</v>
      </c>
      <c r="R314" s="595">
        <f t="shared" si="136"/>
        <v>5880800</v>
      </c>
      <c r="S314" s="740">
        <f>S315</f>
        <v>5880800</v>
      </c>
      <c r="T314" s="740">
        <f>T315</f>
        <v>0</v>
      </c>
      <c r="U314" s="595">
        <f t="shared" si="134"/>
        <v>5880800</v>
      </c>
      <c r="V314" s="595">
        <f t="shared" si="137"/>
        <v>358900</v>
      </c>
      <c r="W314" s="595"/>
      <c r="X314" s="595">
        <f t="shared" si="132"/>
        <v>0</v>
      </c>
      <c r="Y314" s="597">
        <f t="shared" si="127"/>
        <v>0.94248120903248556</v>
      </c>
    </row>
    <row r="315" spans="1:31" s="588" customFormat="1" ht="35.25" customHeight="1">
      <c r="A315" s="726">
        <v>7</v>
      </c>
      <c r="B315" s="727" t="s">
        <v>348</v>
      </c>
      <c r="C315" s="727" t="s">
        <v>359</v>
      </c>
      <c r="D315" s="624">
        <v>2</v>
      </c>
      <c r="E315" s="637" t="s">
        <v>348</v>
      </c>
      <c r="F315" s="637" t="s">
        <v>365</v>
      </c>
      <c r="G315" s="624">
        <v>5</v>
      </c>
      <c r="H315" s="624">
        <v>1</v>
      </c>
      <c r="I315" s="637" t="s">
        <v>350</v>
      </c>
      <c r="J315" s="637" t="s">
        <v>348</v>
      </c>
      <c r="K315" s="637" t="s">
        <v>348</v>
      </c>
      <c r="L315" s="640"/>
      <c r="M315" s="641"/>
      <c r="N315" s="747" t="s">
        <v>379</v>
      </c>
      <c r="O315" s="740">
        <f>SUM(O316:O317)</f>
        <v>6239700</v>
      </c>
      <c r="P315" s="740">
        <f>SUM(P316:P317)</f>
        <v>5880800</v>
      </c>
      <c r="Q315" s="740">
        <f>SUM(Q316:Q317)</f>
        <v>0</v>
      </c>
      <c r="R315" s="595">
        <f>P315+Q315</f>
        <v>5880800</v>
      </c>
      <c r="S315" s="740">
        <f>SUM(S316:S317)</f>
        <v>5880800</v>
      </c>
      <c r="T315" s="740">
        <f>SUM(T316:T317)</f>
        <v>0</v>
      </c>
      <c r="U315" s="595">
        <f t="shared" si="134"/>
        <v>5880800</v>
      </c>
      <c r="V315" s="595">
        <f t="shared" si="137"/>
        <v>358900</v>
      </c>
      <c r="W315" s="595"/>
      <c r="X315" s="595">
        <f t="shared" si="132"/>
        <v>0</v>
      </c>
      <c r="Y315" s="597">
        <f t="shared" si="127"/>
        <v>0.94248120903248556</v>
      </c>
    </row>
    <row r="316" spans="1:31" s="588" customFormat="1" ht="38.25" customHeight="1">
      <c r="A316" s="728">
        <v>7</v>
      </c>
      <c r="B316" s="729" t="s">
        <v>348</v>
      </c>
      <c r="C316" s="735" t="s">
        <v>523</v>
      </c>
      <c r="D316" s="640">
        <v>2</v>
      </c>
      <c r="E316" s="639" t="s">
        <v>348</v>
      </c>
      <c r="F316" s="639" t="s">
        <v>365</v>
      </c>
      <c r="G316" s="640">
        <v>5</v>
      </c>
      <c r="H316" s="640">
        <v>1</v>
      </c>
      <c r="I316" s="639" t="s">
        <v>350</v>
      </c>
      <c r="J316" s="639" t="s">
        <v>348</v>
      </c>
      <c r="K316" s="639" t="s">
        <v>348</v>
      </c>
      <c r="L316" s="639" t="s">
        <v>384</v>
      </c>
      <c r="M316" s="641">
        <v>6</v>
      </c>
      <c r="N316" s="663" t="s">
        <v>501</v>
      </c>
      <c r="O316" s="742">
        <f>'[1]SPJ FUNGSIONAL '!O323</f>
        <v>221700</v>
      </c>
      <c r="P316" s="644">
        <f>S316</f>
        <v>200000</v>
      </c>
      <c r="Q316" s="644">
        <f>T316</f>
        <v>0</v>
      </c>
      <c r="R316" s="644">
        <f t="shared" si="136"/>
        <v>200000</v>
      </c>
      <c r="S316" s="644">
        <f>'[1]SPJ FUNGSIONAL '!Y323</f>
        <v>200000</v>
      </c>
      <c r="T316" s="644">
        <f>'[1]SPJ FUNGSIONAL '!Z323</f>
        <v>0</v>
      </c>
      <c r="U316" s="644">
        <f t="shared" si="134"/>
        <v>200000</v>
      </c>
      <c r="V316" s="644">
        <f t="shared" si="137"/>
        <v>21700</v>
      </c>
      <c r="W316" s="644">
        <f t="shared" ref="W316:W320" si="140">R316-U316</f>
        <v>0</v>
      </c>
      <c r="X316" s="644">
        <f t="shared" si="132"/>
        <v>0</v>
      </c>
      <c r="Y316" s="646">
        <f t="shared" si="127"/>
        <v>0.90211998195760035</v>
      </c>
    </row>
    <row r="317" spans="1:31" s="588" customFormat="1" ht="30" customHeight="1">
      <c r="A317" s="728">
        <v>7</v>
      </c>
      <c r="B317" s="729" t="s">
        <v>348</v>
      </c>
      <c r="C317" s="729" t="s">
        <v>359</v>
      </c>
      <c r="D317" s="640">
        <v>2</v>
      </c>
      <c r="E317" s="639" t="s">
        <v>348</v>
      </c>
      <c r="F317" s="639" t="s">
        <v>365</v>
      </c>
      <c r="G317" s="640">
        <v>5</v>
      </c>
      <c r="H317" s="640">
        <v>1</v>
      </c>
      <c r="I317" s="639" t="s">
        <v>350</v>
      </c>
      <c r="J317" s="639" t="s">
        <v>348</v>
      </c>
      <c r="K317" s="639" t="s">
        <v>348</v>
      </c>
      <c r="L317" s="639" t="s">
        <v>393</v>
      </c>
      <c r="M317" s="754">
        <v>8</v>
      </c>
      <c r="N317" s="663" t="s">
        <v>493</v>
      </c>
      <c r="O317" s="742">
        <f>'[1]SPJ FUNGSIONAL '!O324</f>
        <v>6018000</v>
      </c>
      <c r="P317" s="644">
        <f>'[2]LRA SP2D'!$R$317</f>
        <v>5680800</v>
      </c>
      <c r="Q317" s="644"/>
      <c r="R317" s="644">
        <f t="shared" si="136"/>
        <v>5680800</v>
      </c>
      <c r="S317" s="644">
        <f>'[1]SPJ FUNGSIONAL '!Y324</f>
        <v>5680800</v>
      </c>
      <c r="T317" s="644">
        <f>'[1]SPJ FUNGSIONAL '!Z324</f>
        <v>0</v>
      </c>
      <c r="U317" s="644">
        <f t="shared" si="134"/>
        <v>5680800</v>
      </c>
      <c r="V317" s="644">
        <f t="shared" si="137"/>
        <v>337200</v>
      </c>
      <c r="W317" s="644"/>
      <c r="X317" s="644">
        <f t="shared" si="132"/>
        <v>0</v>
      </c>
      <c r="Y317" s="646">
        <f t="shared" si="127"/>
        <v>0.94396809571286144</v>
      </c>
    </row>
    <row r="318" spans="1:31" s="588" customFormat="1" ht="35.25" customHeight="1">
      <c r="A318" s="726">
        <v>7</v>
      </c>
      <c r="B318" s="727" t="s">
        <v>348</v>
      </c>
      <c r="C318" s="727" t="s">
        <v>359</v>
      </c>
      <c r="D318" s="624">
        <v>2</v>
      </c>
      <c r="E318" s="637" t="s">
        <v>348</v>
      </c>
      <c r="F318" s="637" t="s">
        <v>365</v>
      </c>
      <c r="G318" s="624">
        <v>5</v>
      </c>
      <c r="H318" s="624">
        <v>1</v>
      </c>
      <c r="I318" s="637" t="s">
        <v>350</v>
      </c>
      <c r="J318" s="637" t="s">
        <v>350</v>
      </c>
      <c r="K318" s="624"/>
      <c r="L318" s="640"/>
      <c r="M318" s="641"/>
      <c r="N318" s="747" t="s">
        <v>391</v>
      </c>
      <c r="O318" s="740">
        <f>O319</f>
        <v>3200000</v>
      </c>
      <c r="P318" s="740">
        <f>P319</f>
        <v>3200000</v>
      </c>
      <c r="Q318" s="740">
        <f t="shared" ref="Q318" si="141">Q319</f>
        <v>0</v>
      </c>
      <c r="R318" s="595">
        <f t="shared" si="136"/>
        <v>3200000</v>
      </c>
      <c r="S318" s="740">
        <f>S319</f>
        <v>3200000</v>
      </c>
      <c r="T318" s="740">
        <f>T319</f>
        <v>0</v>
      </c>
      <c r="U318" s="595">
        <f t="shared" si="134"/>
        <v>3200000</v>
      </c>
      <c r="V318" s="595">
        <f t="shared" si="137"/>
        <v>0</v>
      </c>
      <c r="W318" s="595">
        <f t="shared" si="140"/>
        <v>0</v>
      </c>
      <c r="X318" s="595">
        <f t="shared" si="132"/>
        <v>0</v>
      </c>
      <c r="Y318" s="597">
        <f t="shared" si="127"/>
        <v>1</v>
      </c>
    </row>
    <row r="319" spans="1:31" s="588" customFormat="1" ht="35.25" customHeight="1">
      <c r="A319" s="726">
        <v>7</v>
      </c>
      <c r="B319" s="727" t="s">
        <v>348</v>
      </c>
      <c r="C319" s="727" t="s">
        <v>359</v>
      </c>
      <c r="D319" s="624">
        <v>2</v>
      </c>
      <c r="E319" s="637" t="s">
        <v>348</v>
      </c>
      <c r="F319" s="637" t="s">
        <v>365</v>
      </c>
      <c r="G319" s="624">
        <v>5</v>
      </c>
      <c r="H319" s="624">
        <v>1</v>
      </c>
      <c r="I319" s="637" t="s">
        <v>350</v>
      </c>
      <c r="J319" s="637" t="s">
        <v>350</v>
      </c>
      <c r="K319" s="637" t="s">
        <v>348</v>
      </c>
      <c r="L319" s="624"/>
      <c r="M319" s="759"/>
      <c r="N319" s="747" t="s">
        <v>459</v>
      </c>
      <c r="O319" s="740">
        <f>SUM(O320:O320)</f>
        <v>3200000</v>
      </c>
      <c r="P319" s="740">
        <f>SUM(P320:P320)</f>
        <v>3200000</v>
      </c>
      <c r="Q319" s="740">
        <f>SUM(Q320:Q320)</f>
        <v>0</v>
      </c>
      <c r="R319" s="595">
        <f t="shared" si="136"/>
        <v>3200000</v>
      </c>
      <c r="S319" s="740">
        <f>SUM(S320:S320)</f>
        <v>3200000</v>
      </c>
      <c r="T319" s="740">
        <f>SUM(T320:T320)</f>
        <v>0</v>
      </c>
      <c r="U319" s="595">
        <f t="shared" si="134"/>
        <v>3200000</v>
      </c>
      <c r="V319" s="595">
        <f t="shared" si="137"/>
        <v>0</v>
      </c>
      <c r="W319" s="595">
        <f t="shared" si="140"/>
        <v>0</v>
      </c>
      <c r="X319" s="595">
        <f t="shared" si="132"/>
        <v>0</v>
      </c>
      <c r="Y319" s="597">
        <f t="shared" si="127"/>
        <v>1</v>
      </c>
    </row>
    <row r="320" spans="1:31" s="588" customFormat="1" ht="35.25" customHeight="1">
      <c r="A320" s="728">
        <v>7</v>
      </c>
      <c r="B320" s="729" t="s">
        <v>348</v>
      </c>
      <c r="C320" s="729" t="s">
        <v>359</v>
      </c>
      <c r="D320" s="640">
        <v>2</v>
      </c>
      <c r="E320" s="639" t="s">
        <v>348</v>
      </c>
      <c r="F320" s="639" t="s">
        <v>365</v>
      </c>
      <c r="G320" s="640">
        <v>5</v>
      </c>
      <c r="H320" s="640">
        <v>1</v>
      </c>
      <c r="I320" s="639" t="s">
        <v>350</v>
      </c>
      <c r="J320" s="639" t="s">
        <v>350</v>
      </c>
      <c r="K320" s="639" t="s">
        <v>348</v>
      </c>
      <c r="L320" s="639" t="s">
        <v>354</v>
      </c>
      <c r="M320" s="754">
        <v>3</v>
      </c>
      <c r="N320" s="741" t="s">
        <v>507</v>
      </c>
      <c r="O320" s="742">
        <f>'[1]SPJ FUNGSIONAL '!O327</f>
        <v>3200000</v>
      </c>
      <c r="P320" s="644">
        <f>'[2]LRA SP2D'!$R$320</f>
        <v>3200000</v>
      </c>
      <c r="Q320" s="644"/>
      <c r="R320" s="644">
        <f t="shared" si="136"/>
        <v>3200000</v>
      </c>
      <c r="S320" s="644">
        <f>'[1]SPJ FUNGSIONAL '!Y327</f>
        <v>3200000</v>
      </c>
      <c r="T320" s="644">
        <f>'[1]SPJ FUNGSIONAL '!Z327</f>
        <v>0</v>
      </c>
      <c r="U320" s="644">
        <f t="shared" si="134"/>
        <v>3200000</v>
      </c>
      <c r="V320" s="644">
        <f t="shared" si="137"/>
        <v>0</v>
      </c>
      <c r="W320" s="644">
        <f t="shared" si="140"/>
        <v>0</v>
      </c>
      <c r="X320" s="644">
        <f t="shared" si="132"/>
        <v>0</v>
      </c>
      <c r="Y320" s="646">
        <f t="shared" si="127"/>
        <v>1</v>
      </c>
    </row>
    <row r="321" spans="1:25" s="768" customFormat="1" ht="25" customHeight="1">
      <c r="A321" s="733"/>
      <c r="B321" s="733"/>
      <c r="C321" s="733"/>
      <c r="D321" s="764"/>
      <c r="E321" s="764"/>
      <c r="F321" s="764"/>
      <c r="G321" s="764"/>
      <c r="H321" s="764"/>
      <c r="I321" s="764"/>
      <c r="J321" s="764"/>
      <c r="K321" s="764"/>
      <c r="L321" s="764"/>
      <c r="M321" s="764"/>
      <c r="N321" s="733"/>
      <c r="O321" s="765"/>
      <c r="P321" s="766"/>
      <c r="Q321" s="766"/>
      <c r="R321" s="766"/>
      <c r="S321" s="766"/>
      <c r="T321" s="766"/>
      <c r="U321" s="766"/>
      <c r="V321" s="766"/>
      <c r="W321" s="766"/>
      <c r="X321" s="766"/>
      <c r="Y321" s="767"/>
    </row>
    <row r="322" spans="1:25" s="768" customFormat="1" ht="25" customHeight="1">
      <c r="N322" s="769" t="s">
        <v>536</v>
      </c>
      <c r="O322" s="770"/>
      <c r="P322" s="771"/>
      <c r="Q322" s="771"/>
      <c r="R322" s="771"/>
      <c r="S322" s="771"/>
      <c r="T322" s="771"/>
      <c r="U322" s="806"/>
      <c r="V322" s="806"/>
      <c r="W322" s="806"/>
      <c r="X322" s="766"/>
      <c r="Y322" s="767"/>
    </row>
    <row r="323" spans="1:25" s="768" customFormat="1" ht="25" customHeight="1">
      <c r="N323" s="769" t="s">
        <v>537</v>
      </c>
      <c r="O323" s="770"/>
      <c r="P323" s="771"/>
      <c r="Q323" s="771"/>
      <c r="R323" s="771"/>
      <c r="S323" s="771"/>
      <c r="T323" s="771"/>
      <c r="U323" s="772"/>
      <c r="V323" s="773" t="str">
        <f>'[1]SPJ FUNGSIONAL '!AA370</f>
        <v>Padang Panjang, 31 Desember 2023</v>
      </c>
      <c r="W323" s="774"/>
      <c r="X323" s="766"/>
      <c r="Y323" s="767"/>
    </row>
    <row r="324" spans="1:25" s="768" customFormat="1" ht="25" customHeight="1">
      <c r="N324" s="769" t="s">
        <v>538</v>
      </c>
      <c r="O324" s="770"/>
      <c r="P324" s="771"/>
      <c r="Q324" s="771"/>
      <c r="R324" s="771"/>
      <c r="S324" s="771"/>
      <c r="T324" s="771"/>
      <c r="U324" s="772"/>
      <c r="V324" s="775" t="s">
        <v>539</v>
      </c>
      <c r="W324" s="774"/>
      <c r="X324" s="766"/>
      <c r="Y324" s="767"/>
    </row>
    <row r="325" spans="1:25" s="768" customFormat="1" ht="25" customHeight="1">
      <c r="N325" s="769"/>
      <c r="O325" s="770"/>
      <c r="P325" s="771"/>
      <c r="Q325" s="771"/>
      <c r="R325" s="771"/>
      <c r="S325" s="771"/>
      <c r="T325" s="771"/>
      <c r="U325" s="772"/>
      <c r="V325" s="775"/>
      <c r="W325" s="774"/>
      <c r="X325" s="766"/>
      <c r="Y325" s="767"/>
    </row>
    <row r="326" spans="1:25" s="768" customFormat="1" ht="25" customHeight="1">
      <c r="N326" s="769"/>
      <c r="O326" s="770"/>
      <c r="P326" s="771"/>
      <c r="Q326" s="771"/>
      <c r="R326" s="771"/>
      <c r="S326" s="771"/>
      <c r="T326" s="771"/>
      <c r="U326" s="772"/>
      <c r="V326" s="775"/>
      <c r="W326" s="774"/>
      <c r="X326" s="766"/>
      <c r="Y326" s="767"/>
    </row>
    <row r="327" spans="1:25" s="768" customFormat="1" ht="25" customHeight="1">
      <c r="N327" s="769"/>
      <c r="O327" s="770"/>
      <c r="P327" s="771"/>
      <c r="Q327" s="771"/>
      <c r="R327" s="771"/>
      <c r="S327" s="771"/>
      <c r="T327" s="771"/>
      <c r="U327" s="772"/>
      <c r="V327" s="775"/>
      <c r="W327" s="774"/>
      <c r="X327" s="766"/>
      <c r="Y327" s="767"/>
    </row>
    <row r="328" spans="1:25" s="768" customFormat="1" ht="25" customHeight="1">
      <c r="N328" s="769"/>
      <c r="O328" s="770"/>
      <c r="P328" s="771"/>
      <c r="Q328" s="771"/>
      <c r="R328" s="771"/>
      <c r="S328" s="771"/>
      <c r="T328" s="771"/>
      <c r="U328" s="772"/>
      <c r="V328" s="775"/>
      <c r="W328" s="774"/>
      <c r="X328" s="766"/>
      <c r="Y328" s="767"/>
    </row>
    <row r="329" spans="1:25" s="768" customFormat="1" ht="25" customHeight="1">
      <c r="N329" s="769"/>
      <c r="O329" s="770"/>
      <c r="P329" s="771"/>
      <c r="Q329" s="771"/>
      <c r="R329" s="771"/>
      <c r="S329" s="771"/>
      <c r="T329" s="771"/>
      <c r="U329" s="772"/>
      <c r="V329" s="776"/>
      <c r="W329" s="777"/>
      <c r="X329" s="766"/>
      <c r="Y329" s="767"/>
    </row>
    <row r="330" spans="1:25" s="768" customFormat="1" ht="25" customHeight="1">
      <c r="N330" s="778"/>
      <c r="O330" s="770"/>
      <c r="P330" s="771"/>
      <c r="Q330" s="771"/>
      <c r="R330" s="771"/>
      <c r="S330" s="771"/>
      <c r="T330" s="771"/>
      <c r="U330" s="772"/>
      <c r="V330" s="776"/>
      <c r="W330" s="779"/>
      <c r="X330" s="766"/>
      <c r="Y330" s="767"/>
    </row>
    <row r="331" spans="1:25" s="768" customFormat="1" ht="25" customHeight="1">
      <c r="N331" s="780" t="str">
        <f>'[1]SPJ FUNGSIONAL '!N376</f>
        <v>GUSRIAL, S. Sos</v>
      </c>
      <c r="O331" s="770"/>
      <c r="P331" s="771"/>
      <c r="Q331" s="771"/>
      <c r="R331" s="771"/>
      <c r="S331" s="771"/>
      <c r="T331" s="771"/>
      <c r="U331" s="772"/>
      <c r="V331" s="781" t="s">
        <v>540</v>
      </c>
      <c r="W331" s="782"/>
      <c r="X331" s="782"/>
      <c r="Y331" s="782"/>
    </row>
    <row r="332" spans="1:25" s="768" customFormat="1" ht="25" customHeight="1">
      <c r="N332" s="783" t="str">
        <f>'[1]SPJ FUNGSIONAL '!N377</f>
        <v>NIP. 196610051989031007</v>
      </c>
      <c r="O332" s="770"/>
      <c r="P332" s="771"/>
      <c r="Q332" s="771"/>
      <c r="R332" s="771"/>
      <c r="S332" s="771"/>
      <c r="T332" s="771"/>
      <c r="U332" s="784"/>
      <c r="V332" s="785" t="s">
        <v>541</v>
      </c>
      <c r="W332" s="786"/>
      <c r="X332" s="786"/>
      <c r="Y332" s="786"/>
    </row>
    <row r="333" spans="1:25" s="768" customFormat="1" ht="25" customHeight="1">
      <c r="N333" s="770"/>
      <c r="O333" s="770"/>
      <c r="P333" s="771"/>
      <c r="Q333" s="771"/>
      <c r="R333" s="771"/>
      <c r="S333" s="771"/>
      <c r="T333" s="771"/>
      <c r="U333" s="784"/>
      <c r="V333" s="771"/>
      <c r="W333" s="779"/>
      <c r="X333" s="766"/>
      <c r="Y333" s="767"/>
    </row>
    <row r="334" spans="1:25" s="768" customFormat="1" ht="25" customHeight="1">
      <c r="N334" s="770"/>
      <c r="O334" s="770"/>
      <c r="P334" s="771"/>
      <c r="Q334" s="771"/>
      <c r="R334" s="771"/>
      <c r="S334" s="771"/>
      <c r="T334" s="771"/>
      <c r="U334" s="771"/>
      <c r="V334" s="771"/>
      <c r="W334" s="779"/>
      <c r="X334" s="766"/>
      <c r="Y334" s="767"/>
    </row>
    <row r="335" spans="1:25" s="768" customFormat="1" ht="25" customHeight="1">
      <c r="N335" s="770"/>
      <c r="O335" s="770"/>
      <c r="P335" s="771"/>
      <c r="Q335" s="771"/>
      <c r="R335" s="771"/>
      <c r="S335" s="771"/>
      <c r="T335" s="771"/>
      <c r="U335" s="771"/>
      <c r="V335" s="771"/>
      <c r="W335" s="779"/>
      <c r="X335" s="766"/>
      <c r="Y335" s="767"/>
    </row>
    <row r="336" spans="1:25" s="768" customFormat="1" ht="25" customHeight="1">
      <c r="O336" s="767"/>
      <c r="P336" s="766"/>
      <c r="Q336" s="766"/>
      <c r="R336" s="766"/>
      <c r="S336" s="766"/>
      <c r="T336" s="766"/>
      <c r="U336" s="766"/>
      <c r="V336" s="766"/>
      <c r="W336" s="766"/>
      <c r="X336" s="766"/>
      <c r="Y336" s="767"/>
    </row>
    <row r="337" spans="15:25" s="768" customFormat="1" ht="25" customHeight="1">
      <c r="O337" s="767"/>
      <c r="P337" s="766"/>
      <c r="Q337" s="766"/>
      <c r="R337" s="766"/>
      <c r="S337" s="766"/>
      <c r="T337" s="766"/>
      <c r="U337" s="766"/>
      <c r="V337" s="766"/>
      <c r="W337" s="766"/>
      <c r="X337" s="766"/>
      <c r="Y337" s="767"/>
    </row>
    <row r="338" spans="15:25" s="768" customFormat="1" ht="25" customHeight="1">
      <c r="O338" s="767"/>
      <c r="P338" s="766"/>
      <c r="Q338" s="766"/>
      <c r="R338" s="766"/>
      <c r="S338" s="766"/>
      <c r="T338" s="766"/>
      <c r="U338" s="766"/>
      <c r="V338" s="766"/>
      <c r="W338" s="766"/>
      <c r="X338" s="766"/>
      <c r="Y338" s="767"/>
    </row>
    <row r="339" spans="15:25" s="768" customFormat="1" ht="25" customHeight="1">
      <c r="O339" s="767"/>
      <c r="P339" s="766"/>
      <c r="Q339" s="766"/>
      <c r="R339" s="766"/>
      <c r="S339" s="766"/>
      <c r="T339" s="766"/>
      <c r="U339" s="766"/>
      <c r="V339" s="766"/>
      <c r="W339" s="766"/>
      <c r="X339" s="766"/>
      <c r="Y339" s="767"/>
    </row>
    <row r="340" spans="15:25" s="768" customFormat="1" ht="25" customHeight="1">
      <c r="O340" s="767"/>
      <c r="P340" s="766"/>
      <c r="Q340" s="766"/>
      <c r="R340" s="766"/>
      <c r="S340" s="766"/>
      <c r="T340" s="766"/>
      <c r="U340" s="766"/>
      <c r="V340" s="766"/>
      <c r="W340" s="766"/>
      <c r="X340" s="766"/>
      <c r="Y340" s="767"/>
    </row>
    <row r="341" spans="15:25" s="768" customFormat="1" ht="25" customHeight="1">
      <c r="O341" s="767"/>
      <c r="P341" s="766"/>
      <c r="Q341" s="766"/>
      <c r="R341" s="766"/>
      <c r="S341" s="766"/>
      <c r="T341" s="766"/>
      <c r="U341" s="766"/>
      <c r="V341" s="766"/>
      <c r="W341" s="766"/>
      <c r="X341" s="766"/>
      <c r="Y341" s="767"/>
    </row>
    <row r="342" spans="15:25" s="768" customFormat="1" ht="25" customHeight="1">
      <c r="O342" s="767"/>
      <c r="P342" s="766"/>
      <c r="Q342" s="766"/>
      <c r="R342" s="766"/>
      <c r="S342" s="766"/>
      <c r="T342" s="766"/>
      <c r="U342" s="766"/>
      <c r="V342" s="766"/>
      <c r="W342" s="766"/>
      <c r="X342" s="766"/>
      <c r="Y342" s="767"/>
    </row>
    <row r="343" spans="15:25" s="768" customFormat="1" ht="25" customHeight="1">
      <c r="O343" s="767"/>
      <c r="P343" s="766"/>
      <c r="Q343" s="766"/>
      <c r="R343" s="766"/>
      <c r="S343" s="766"/>
      <c r="T343" s="766"/>
      <c r="U343" s="766"/>
      <c r="V343" s="766"/>
      <c r="W343" s="766"/>
      <c r="X343" s="766"/>
      <c r="Y343" s="767"/>
    </row>
    <row r="344" spans="15:25" s="768" customFormat="1" ht="25" customHeight="1">
      <c r="O344" s="767"/>
      <c r="P344" s="766"/>
      <c r="Q344" s="766"/>
      <c r="R344" s="766"/>
      <c r="S344" s="766"/>
      <c r="T344" s="766"/>
      <c r="U344" s="766"/>
      <c r="V344" s="766"/>
      <c r="W344" s="766"/>
      <c r="X344" s="766"/>
      <c r="Y344" s="767"/>
    </row>
    <row r="345" spans="15:25" s="768" customFormat="1" ht="25" customHeight="1">
      <c r="O345" s="767"/>
      <c r="P345" s="766"/>
      <c r="Q345" s="766"/>
      <c r="R345" s="766"/>
      <c r="S345" s="766"/>
      <c r="T345" s="766"/>
      <c r="U345" s="766"/>
      <c r="V345" s="766"/>
      <c r="W345" s="766"/>
      <c r="X345" s="766"/>
      <c r="Y345" s="767"/>
    </row>
    <row r="346" spans="15:25" s="768" customFormat="1" ht="25" customHeight="1">
      <c r="O346" s="767"/>
      <c r="P346" s="766"/>
      <c r="Q346" s="766"/>
      <c r="R346" s="766"/>
      <c r="S346" s="766"/>
      <c r="T346" s="766"/>
      <c r="U346" s="766"/>
      <c r="V346" s="766"/>
      <c r="W346" s="766"/>
      <c r="X346" s="766"/>
      <c r="Y346" s="767"/>
    </row>
    <row r="347" spans="15:25" s="768" customFormat="1" ht="25" customHeight="1">
      <c r="O347" s="767"/>
      <c r="P347" s="766"/>
      <c r="Q347" s="766"/>
      <c r="R347" s="766"/>
      <c r="S347" s="766"/>
      <c r="T347" s="766"/>
      <c r="U347" s="766"/>
      <c r="V347" s="766"/>
      <c r="W347" s="766"/>
      <c r="X347" s="766"/>
      <c r="Y347" s="767"/>
    </row>
    <row r="348" spans="15:25" s="768" customFormat="1" ht="25" customHeight="1">
      <c r="O348" s="767"/>
      <c r="P348" s="766"/>
      <c r="Q348" s="766"/>
      <c r="R348" s="766"/>
      <c r="S348" s="766"/>
      <c r="T348" s="766"/>
      <c r="U348" s="766"/>
      <c r="V348" s="766"/>
      <c r="W348" s="766"/>
      <c r="X348" s="766"/>
      <c r="Y348" s="767"/>
    </row>
    <row r="349" spans="15:25" s="768" customFormat="1" ht="25" customHeight="1">
      <c r="O349" s="767"/>
      <c r="P349" s="766"/>
      <c r="Q349" s="766"/>
      <c r="R349" s="766"/>
      <c r="S349" s="766"/>
      <c r="T349" s="766"/>
      <c r="U349" s="766"/>
      <c r="V349" s="766"/>
      <c r="W349" s="766"/>
      <c r="X349" s="766"/>
      <c r="Y349" s="767"/>
    </row>
    <row r="350" spans="15:25" s="768" customFormat="1" ht="25" customHeight="1">
      <c r="O350" s="767"/>
      <c r="P350" s="766"/>
      <c r="Q350" s="766"/>
      <c r="R350" s="766"/>
      <c r="S350" s="766"/>
      <c r="T350" s="766"/>
      <c r="U350" s="766"/>
      <c r="V350" s="766"/>
      <c r="W350" s="766"/>
      <c r="X350" s="766"/>
      <c r="Y350" s="767"/>
    </row>
    <row r="351" spans="15:25" s="768" customFormat="1" ht="25" customHeight="1">
      <c r="O351" s="767"/>
      <c r="P351" s="766"/>
      <c r="Q351" s="766"/>
      <c r="R351" s="766"/>
      <c r="S351" s="766"/>
      <c r="T351" s="766"/>
      <c r="U351" s="766"/>
      <c r="V351" s="766"/>
      <c r="W351" s="766"/>
      <c r="X351" s="766"/>
      <c r="Y351" s="767"/>
    </row>
    <row r="352" spans="15:25" s="768" customFormat="1" ht="25" customHeight="1">
      <c r="O352" s="767"/>
      <c r="P352" s="766"/>
      <c r="Q352" s="766"/>
      <c r="R352" s="766"/>
      <c r="S352" s="766"/>
      <c r="T352" s="766"/>
      <c r="U352" s="766"/>
      <c r="V352" s="766"/>
      <c r="W352" s="766"/>
      <c r="X352" s="766"/>
      <c r="Y352" s="767"/>
    </row>
    <row r="353" spans="15:25" s="768" customFormat="1" ht="25" customHeight="1">
      <c r="O353" s="767"/>
      <c r="P353" s="766"/>
      <c r="Q353" s="766"/>
      <c r="R353" s="766"/>
      <c r="S353" s="766"/>
      <c r="T353" s="766"/>
      <c r="U353" s="766"/>
      <c r="V353" s="766"/>
      <c r="W353" s="766"/>
      <c r="X353" s="766"/>
      <c r="Y353" s="767"/>
    </row>
    <row r="354" spans="15:25" s="768" customFormat="1" ht="25" customHeight="1">
      <c r="O354" s="767"/>
      <c r="P354" s="766"/>
      <c r="Q354" s="766"/>
      <c r="R354" s="766"/>
      <c r="S354" s="766"/>
      <c r="T354" s="766"/>
      <c r="U354" s="766"/>
      <c r="V354" s="766"/>
      <c r="W354" s="766"/>
      <c r="X354" s="766"/>
      <c r="Y354" s="767"/>
    </row>
    <row r="355" spans="15:25" s="768" customFormat="1" ht="25" customHeight="1">
      <c r="O355" s="767"/>
      <c r="P355" s="766"/>
      <c r="Q355" s="766"/>
      <c r="R355" s="766"/>
      <c r="S355" s="766"/>
      <c r="T355" s="766"/>
      <c r="U355" s="766"/>
      <c r="V355" s="766"/>
      <c r="W355" s="766"/>
      <c r="X355" s="766"/>
      <c r="Y355" s="767"/>
    </row>
    <row r="356" spans="15:25" s="768" customFormat="1" ht="25" customHeight="1">
      <c r="O356" s="767"/>
      <c r="P356" s="766"/>
      <c r="Q356" s="766"/>
      <c r="R356" s="766"/>
      <c r="S356" s="766"/>
      <c r="T356" s="766"/>
      <c r="U356" s="766"/>
      <c r="V356" s="766"/>
      <c r="W356" s="766"/>
      <c r="X356" s="766"/>
      <c r="Y356" s="767"/>
    </row>
    <row r="357" spans="15:25" s="768" customFormat="1" ht="25" customHeight="1">
      <c r="O357" s="767"/>
      <c r="P357" s="766"/>
      <c r="Q357" s="766"/>
      <c r="R357" s="766"/>
      <c r="S357" s="766"/>
      <c r="T357" s="766"/>
      <c r="U357" s="766"/>
      <c r="V357" s="766"/>
      <c r="W357" s="766"/>
      <c r="X357" s="766"/>
      <c r="Y357" s="767"/>
    </row>
    <row r="358" spans="15:25" s="768" customFormat="1" ht="25" customHeight="1">
      <c r="O358" s="767"/>
      <c r="P358" s="766"/>
      <c r="Q358" s="766"/>
      <c r="R358" s="766"/>
      <c r="S358" s="766"/>
      <c r="T358" s="766"/>
      <c r="U358" s="766"/>
      <c r="V358" s="766"/>
      <c r="W358" s="766"/>
      <c r="X358" s="766"/>
      <c r="Y358" s="767"/>
    </row>
    <row r="359" spans="15:25" s="768" customFormat="1" ht="25" customHeight="1">
      <c r="O359" s="767"/>
      <c r="P359" s="766"/>
      <c r="Q359" s="766"/>
      <c r="R359" s="766"/>
      <c r="S359" s="766"/>
      <c r="T359" s="766"/>
      <c r="U359" s="766"/>
      <c r="V359" s="766"/>
      <c r="W359" s="766"/>
      <c r="X359" s="766"/>
      <c r="Y359" s="767"/>
    </row>
    <row r="360" spans="15:25" s="768" customFormat="1" ht="25" customHeight="1">
      <c r="O360" s="767"/>
      <c r="P360" s="766"/>
      <c r="Q360" s="766"/>
      <c r="R360" s="766"/>
      <c r="S360" s="766"/>
      <c r="T360" s="766"/>
      <c r="U360" s="766"/>
      <c r="V360" s="766"/>
      <c r="W360" s="766"/>
      <c r="X360" s="766"/>
      <c r="Y360" s="767"/>
    </row>
    <row r="361" spans="15:25" s="768" customFormat="1" ht="25" customHeight="1">
      <c r="O361" s="767"/>
      <c r="P361" s="766"/>
      <c r="Q361" s="766"/>
      <c r="R361" s="766"/>
      <c r="S361" s="766"/>
      <c r="T361" s="766"/>
      <c r="U361" s="766"/>
      <c r="V361" s="766"/>
      <c r="W361" s="766"/>
      <c r="X361" s="766"/>
      <c r="Y361" s="767"/>
    </row>
    <row r="362" spans="15:25" s="768" customFormat="1" ht="25" customHeight="1">
      <c r="O362" s="767"/>
      <c r="P362" s="766"/>
      <c r="Q362" s="766"/>
      <c r="R362" s="766"/>
      <c r="S362" s="766"/>
      <c r="T362" s="766"/>
      <c r="U362" s="766"/>
      <c r="V362" s="766"/>
      <c r="W362" s="766"/>
      <c r="X362" s="766"/>
      <c r="Y362" s="767"/>
    </row>
    <row r="363" spans="15:25" s="768" customFormat="1" ht="25" customHeight="1">
      <c r="O363" s="767"/>
      <c r="P363" s="766"/>
      <c r="Q363" s="766"/>
      <c r="R363" s="766"/>
      <c r="S363" s="766"/>
      <c r="T363" s="766"/>
      <c r="U363" s="766"/>
      <c r="V363" s="766"/>
      <c r="W363" s="766"/>
      <c r="X363" s="766"/>
      <c r="Y363" s="767"/>
    </row>
    <row r="364" spans="15:25" s="768" customFormat="1" ht="25" customHeight="1">
      <c r="O364" s="767"/>
      <c r="P364" s="766"/>
      <c r="Q364" s="766"/>
      <c r="R364" s="766"/>
      <c r="S364" s="766"/>
      <c r="T364" s="766"/>
      <c r="U364" s="766"/>
      <c r="V364" s="766"/>
      <c r="W364" s="766"/>
      <c r="X364" s="766"/>
      <c r="Y364" s="767"/>
    </row>
    <row r="365" spans="15:25" s="768" customFormat="1" ht="25" customHeight="1">
      <c r="O365" s="767"/>
      <c r="P365" s="766"/>
      <c r="Q365" s="766"/>
      <c r="R365" s="766"/>
      <c r="S365" s="766"/>
      <c r="T365" s="766"/>
      <c r="U365" s="766"/>
      <c r="V365" s="766"/>
      <c r="W365" s="766"/>
      <c r="X365" s="766"/>
      <c r="Y365" s="767"/>
    </row>
    <row r="366" spans="15:25" s="768" customFormat="1" ht="25" customHeight="1">
      <c r="O366" s="767"/>
      <c r="P366" s="766"/>
      <c r="Q366" s="766"/>
      <c r="R366" s="766"/>
      <c r="S366" s="766"/>
      <c r="T366" s="766"/>
      <c r="U366" s="766"/>
      <c r="V366" s="766"/>
      <c r="W366" s="766"/>
      <c r="X366" s="766"/>
      <c r="Y366" s="767"/>
    </row>
    <row r="367" spans="15:25" s="768" customFormat="1" ht="25" customHeight="1">
      <c r="O367" s="767"/>
      <c r="P367" s="766"/>
      <c r="Q367" s="766"/>
      <c r="R367" s="766"/>
      <c r="S367" s="766"/>
      <c r="T367" s="766"/>
      <c r="U367" s="766"/>
      <c r="V367" s="766"/>
      <c r="W367" s="766"/>
      <c r="X367" s="766"/>
      <c r="Y367" s="767"/>
    </row>
    <row r="368" spans="15:25" s="768" customFormat="1" ht="25" customHeight="1">
      <c r="O368" s="767"/>
      <c r="P368" s="766"/>
      <c r="Q368" s="766"/>
      <c r="R368" s="766"/>
      <c r="S368" s="766"/>
      <c r="T368" s="766"/>
      <c r="U368" s="766"/>
      <c r="V368" s="766"/>
      <c r="W368" s="766"/>
      <c r="X368" s="766"/>
      <c r="Y368" s="767"/>
    </row>
    <row r="369" spans="15:25" s="768" customFormat="1" ht="25" customHeight="1">
      <c r="O369" s="767"/>
      <c r="P369" s="766"/>
      <c r="Q369" s="766"/>
      <c r="R369" s="766"/>
      <c r="S369" s="766"/>
      <c r="T369" s="766"/>
      <c r="U369" s="766"/>
      <c r="V369" s="766"/>
      <c r="W369" s="766"/>
      <c r="X369" s="766"/>
      <c r="Y369" s="767"/>
    </row>
    <row r="370" spans="15:25" s="768" customFormat="1" ht="25" customHeight="1">
      <c r="O370" s="767"/>
      <c r="P370" s="766"/>
      <c r="Q370" s="766"/>
      <c r="R370" s="766"/>
      <c r="S370" s="766"/>
      <c r="T370" s="766"/>
      <c r="U370" s="766"/>
      <c r="V370" s="766"/>
      <c r="W370" s="766"/>
      <c r="X370" s="766"/>
      <c r="Y370" s="767"/>
    </row>
    <row r="371" spans="15:25" s="768" customFormat="1" ht="25" customHeight="1">
      <c r="O371" s="767"/>
      <c r="P371" s="766"/>
      <c r="Q371" s="766"/>
      <c r="R371" s="766"/>
      <c r="S371" s="766"/>
      <c r="T371" s="766"/>
      <c r="U371" s="766"/>
      <c r="V371" s="766"/>
      <c r="W371" s="766"/>
      <c r="X371" s="766"/>
      <c r="Y371" s="767"/>
    </row>
    <row r="372" spans="15:25" s="768" customFormat="1" ht="25" customHeight="1">
      <c r="O372" s="767"/>
      <c r="P372" s="766"/>
      <c r="Q372" s="766"/>
      <c r="R372" s="766"/>
      <c r="S372" s="766"/>
      <c r="T372" s="766"/>
      <c r="U372" s="766"/>
      <c r="V372" s="766"/>
      <c r="W372" s="766"/>
      <c r="X372" s="766"/>
      <c r="Y372" s="767"/>
    </row>
    <row r="373" spans="15:25" s="768" customFormat="1" ht="25" customHeight="1">
      <c r="O373" s="767"/>
      <c r="P373" s="766"/>
      <c r="Q373" s="766"/>
      <c r="R373" s="766"/>
      <c r="S373" s="766"/>
      <c r="T373" s="766"/>
      <c r="U373" s="766"/>
      <c r="V373" s="766"/>
      <c r="W373" s="766"/>
      <c r="X373" s="766"/>
      <c r="Y373" s="767"/>
    </row>
    <row r="374" spans="15:25" s="768" customFormat="1" ht="25" customHeight="1">
      <c r="O374" s="767"/>
      <c r="P374" s="766"/>
      <c r="Q374" s="766"/>
      <c r="R374" s="766"/>
      <c r="S374" s="766"/>
      <c r="T374" s="766"/>
      <c r="U374" s="766"/>
      <c r="V374" s="766"/>
      <c r="W374" s="766"/>
      <c r="X374" s="766"/>
      <c r="Y374" s="767"/>
    </row>
    <row r="375" spans="15:25" s="768" customFormat="1" ht="25" customHeight="1">
      <c r="O375" s="767"/>
      <c r="P375" s="787"/>
      <c r="Q375" s="787"/>
      <c r="R375" s="787"/>
      <c r="S375" s="766"/>
      <c r="T375" s="766"/>
      <c r="U375" s="766"/>
      <c r="V375" s="766"/>
      <c r="W375" s="766"/>
      <c r="X375" s="766"/>
    </row>
    <row r="376" spans="15:25" s="768" customFormat="1" ht="25" customHeight="1">
      <c r="O376" s="767"/>
      <c r="P376" s="787"/>
      <c r="Q376" s="787"/>
      <c r="R376" s="787"/>
      <c r="S376" s="766"/>
      <c r="T376" s="766"/>
      <c r="U376" s="766"/>
      <c r="V376" s="766"/>
      <c r="W376" s="766"/>
      <c r="X376" s="766"/>
    </row>
    <row r="377" spans="15:25" s="768" customFormat="1" ht="25" customHeight="1">
      <c r="O377" s="767"/>
      <c r="P377" s="787"/>
      <c r="Q377" s="787"/>
      <c r="R377" s="787"/>
      <c r="S377" s="766"/>
      <c r="T377" s="766"/>
      <c r="U377" s="766"/>
      <c r="V377" s="766"/>
      <c r="W377" s="766"/>
      <c r="X377" s="766"/>
    </row>
    <row r="378" spans="15:25" s="768" customFormat="1" ht="25" customHeight="1">
      <c r="O378" s="767"/>
      <c r="P378" s="787"/>
      <c r="Q378" s="787"/>
      <c r="R378" s="787"/>
      <c r="S378" s="766"/>
      <c r="T378" s="766"/>
      <c r="U378" s="766"/>
      <c r="V378" s="766"/>
      <c r="W378" s="766"/>
      <c r="X378" s="766"/>
    </row>
    <row r="379" spans="15:25" s="768" customFormat="1" ht="25" customHeight="1">
      <c r="O379" s="767"/>
      <c r="P379" s="787"/>
      <c r="Q379" s="787"/>
      <c r="R379" s="787"/>
      <c r="S379" s="766"/>
      <c r="T379" s="766"/>
      <c r="U379" s="766"/>
      <c r="V379" s="766"/>
      <c r="W379" s="766"/>
      <c r="X379" s="766"/>
    </row>
    <row r="380" spans="15:25" s="768" customFormat="1" ht="25" customHeight="1">
      <c r="O380" s="767"/>
      <c r="P380" s="787"/>
      <c r="Q380" s="787"/>
      <c r="R380" s="787"/>
      <c r="S380" s="766"/>
      <c r="T380" s="766"/>
      <c r="U380" s="766"/>
      <c r="V380" s="766"/>
      <c r="W380" s="766"/>
      <c r="X380" s="766"/>
    </row>
    <row r="381" spans="15:25" s="768" customFormat="1" ht="25" customHeight="1">
      <c r="O381" s="767"/>
      <c r="P381" s="787"/>
      <c r="Q381" s="787"/>
      <c r="R381" s="787"/>
      <c r="S381" s="766"/>
      <c r="T381" s="766"/>
      <c r="U381" s="766"/>
      <c r="V381" s="766"/>
      <c r="W381" s="766"/>
      <c r="X381" s="766"/>
    </row>
    <row r="382" spans="15:25" s="768" customFormat="1" ht="25" customHeight="1">
      <c r="O382" s="767"/>
      <c r="P382" s="787"/>
      <c r="Q382" s="787"/>
      <c r="R382" s="787"/>
      <c r="S382" s="766"/>
      <c r="T382" s="766"/>
      <c r="U382" s="766"/>
      <c r="V382" s="766"/>
      <c r="W382" s="766"/>
      <c r="X382" s="766"/>
    </row>
    <row r="383" spans="15:25" s="768" customFormat="1" ht="25" customHeight="1">
      <c r="O383" s="767"/>
      <c r="P383" s="787"/>
      <c r="Q383" s="787"/>
      <c r="R383" s="787"/>
      <c r="S383" s="766"/>
      <c r="T383" s="766"/>
      <c r="U383" s="766"/>
      <c r="V383" s="766"/>
      <c r="W383" s="766"/>
      <c r="X383" s="766"/>
    </row>
    <row r="384" spans="15:25" s="768" customFormat="1" ht="25" customHeight="1">
      <c r="O384" s="767"/>
      <c r="P384" s="787"/>
      <c r="Q384" s="787"/>
      <c r="R384" s="787"/>
      <c r="S384" s="766"/>
      <c r="T384" s="766"/>
      <c r="U384" s="766"/>
      <c r="V384" s="766"/>
      <c r="W384" s="766"/>
      <c r="X384" s="766"/>
    </row>
    <row r="385" spans="15:24" s="768" customFormat="1" ht="25" customHeight="1">
      <c r="O385" s="767"/>
      <c r="P385" s="787"/>
      <c r="Q385" s="787"/>
      <c r="R385" s="787"/>
      <c r="S385" s="787"/>
      <c r="T385" s="787"/>
      <c r="U385" s="787"/>
      <c r="V385" s="787"/>
      <c r="W385" s="766"/>
      <c r="X385" s="766"/>
    </row>
    <row r="386" spans="15:24" s="768" customFormat="1" ht="25" customHeight="1">
      <c r="O386" s="767"/>
      <c r="P386" s="787"/>
      <c r="Q386" s="787"/>
      <c r="R386" s="787"/>
      <c r="S386" s="787"/>
      <c r="T386" s="787"/>
      <c r="U386" s="787"/>
      <c r="V386" s="787"/>
      <c r="W386" s="766"/>
      <c r="X386" s="766"/>
    </row>
    <row r="387" spans="15:24" s="768" customFormat="1" ht="25" customHeight="1">
      <c r="O387" s="767"/>
      <c r="P387" s="787"/>
      <c r="Q387" s="787"/>
      <c r="R387" s="787"/>
      <c r="S387" s="787"/>
      <c r="T387" s="787"/>
      <c r="U387" s="787"/>
      <c r="V387" s="787"/>
      <c r="W387" s="766"/>
      <c r="X387" s="766"/>
    </row>
    <row r="388" spans="15:24" s="768" customFormat="1" ht="25" customHeight="1">
      <c r="O388" s="767"/>
      <c r="P388" s="787"/>
      <c r="Q388" s="787"/>
      <c r="R388" s="787"/>
      <c r="S388" s="787"/>
      <c r="T388" s="787"/>
      <c r="U388" s="787"/>
      <c r="V388" s="787"/>
      <c r="W388" s="766"/>
      <c r="X388" s="766"/>
    </row>
    <row r="389" spans="15:24" s="768" customFormat="1" ht="25" customHeight="1">
      <c r="O389" s="767"/>
      <c r="P389" s="787"/>
      <c r="Q389" s="787"/>
      <c r="R389" s="787"/>
      <c r="S389" s="787"/>
      <c r="T389" s="787"/>
      <c r="U389" s="787"/>
      <c r="V389" s="787"/>
      <c r="W389" s="766"/>
      <c r="X389" s="766"/>
    </row>
    <row r="390" spans="15:24" s="768" customFormat="1" ht="25" customHeight="1">
      <c r="O390" s="767"/>
      <c r="P390" s="787"/>
      <c r="Q390" s="787"/>
      <c r="R390" s="787"/>
      <c r="S390" s="787"/>
      <c r="T390" s="787"/>
      <c r="U390" s="787"/>
      <c r="V390" s="787"/>
      <c r="W390" s="766"/>
      <c r="X390" s="766"/>
    </row>
    <row r="391" spans="15:24" s="768" customFormat="1" ht="25" customHeight="1">
      <c r="P391" s="788"/>
      <c r="Q391" s="788"/>
      <c r="R391" s="788"/>
      <c r="S391" s="788"/>
      <c r="T391" s="788"/>
      <c r="U391" s="788"/>
      <c r="V391" s="788"/>
      <c r="W391" s="789"/>
      <c r="X391" s="789"/>
    </row>
    <row r="392" spans="15:24" s="768" customFormat="1" ht="25" customHeight="1">
      <c r="P392" s="788"/>
      <c r="Q392" s="788"/>
      <c r="R392" s="788"/>
      <c r="S392" s="788"/>
      <c r="T392" s="788"/>
      <c r="U392" s="788"/>
      <c r="V392" s="788"/>
      <c r="W392" s="789"/>
      <c r="X392" s="789"/>
    </row>
    <row r="393" spans="15:24" s="768" customFormat="1" ht="25" customHeight="1">
      <c r="P393" s="788"/>
      <c r="Q393" s="788"/>
      <c r="R393" s="788"/>
      <c r="S393" s="788"/>
      <c r="T393" s="788"/>
      <c r="U393" s="788"/>
      <c r="V393" s="788"/>
      <c r="W393" s="789"/>
      <c r="X393" s="789"/>
    </row>
    <row r="394" spans="15:24" s="768" customFormat="1" ht="25" customHeight="1">
      <c r="P394" s="788"/>
      <c r="Q394" s="788"/>
      <c r="R394" s="788"/>
      <c r="S394" s="788"/>
      <c r="T394" s="788"/>
      <c r="U394" s="788"/>
      <c r="V394" s="788"/>
      <c r="W394" s="789"/>
      <c r="X394" s="789"/>
    </row>
    <row r="395" spans="15:24" s="768" customFormat="1" ht="25" customHeight="1">
      <c r="P395" s="788"/>
      <c r="Q395" s="788"/>
      <c r="R395" s="788"/>
      <c r="S395" s="788"/>
      <c r="T395" s="788"/>
      <c r="U395" s="788"/>
      <c r="V395" s="788"/>
      <c r="W395" s="789"/>
      <c r="X395" s="789"/>
    </row>
    <row r="396" spans="15:24" s="768" customFormat="1" ht="25" customHeight="1">
      <c r="P396" s="788"/>
      <c r="Q396" s="788"/>
      <c r="R396" s="788"/>
      <c r="S396" s="788"/>
      <c r="T396" s="788"/>
      <c r="U396" s="788"/>
      <c r="V396" s="788"/>
      <c r="W396" s="789"/>
      <c r="X396" s="789"/>
    </row>
    <row r="397" spans="15:24" s="768" customFormat="1" ht="25" customHeight="1">
      <c r="P397" s="788"/>
      <c r="Q397" s="788"/>
      <c r="R397" s="788"/>
      <c r="S397" s="788"/>
      <c r="T397" s="788"/>
      <c r="U397" s="788"/>
      <c r="V397" s="788"/>
      <c r="W397" s="789"/>
      <c r="X397" s="789"/>
    </row>
    <row r="398" spans="15:24" s="768" customFormat="1" ht="25" customHeight="1">
      <c r="P398" s="788"/>
      <c r="Q398" s="788"/>
      <c r="R398" s="788"/>
      <c r="S398" s="788"/>
      <c r="T398" s="788"/>
      <c r="U398" s="788"/>
      <c r="V398" s="788"/>
      <c r="W398" s="789"/>
      <c r="X398" s="789"/>
    </row>
    <row r="399" spans="15:24" s="768" customFormat="1" ht="25" customHeight="1">
      <c r="P399" s="788"/>
      <c r="Q399" s="788"/>
      <c r="R399" s="788"/>
      <c r="S399" s="788"/>
      <c r="T399" s="788"/>
      <c r="U399" s="788"/>
      <c r="V399" s="788"/>
      <c r="W399" s="789"/>
      <c r="X399" s="789"/>
    </row>
    <row r="400" spans="15:24" s="768" customFormat="1" ht="25" customHeight="1">
      <c r="P400" s="788"/>
      <c r="Q400" s="788"/>
      <c r="R400" s="788"/>
      <c r="S400" s="788"/>
      <c r="T400" s="788"/>
      <c r="U400" s="788"/>
      <c r="V400" s="788"/>
      <c r="W400" s="789"/>
      <c r="X400" s="789"/>
    </row>
    <row r="401" spans="16:24" s="768" customFormat="1" ht="25" customHeight="1">
      <c r="P401" s="788"/>
      <c r="Q401" s="788"/>
      <c r="R401" s="788"/>
      <c r="S401" s="788"/>
      <c r="T401" s="788"/>
      <c r="U401" s="788"/>
      <c r="V401" s="788"/>
      <c r="W401" s="789"/>
      <c r="X401" s="789"/>
    </row>
    <row r="402" spans="16:24" s="768" customFormat="1" ht="25" customHeight="1">
      <c r="P402" s="788"/>
      <c r="Q402" s="788"/>
      <c r="R402" s="788"/>
      <c r="S402" s="788"/>
      <c r="T402" s="788"/>
      <c r="U402" s="788"/>
      <c r="V402" s="788"/>
      <c r="W402" s="789"/>
      <c r="X402" s="789"/>
    </row>
    <row r="403" spans="16:24" s="768" customFormat="1" ht="25" customHeight="1">
      <c r="P403" s="788"/>
      <c r="Q403" s="788"/>
      <c r="R403" s="788"/>
      <c r="S403" s="788"/>
      <c r="T403" s="788"/>
      <c r="U403" s="788"/>
      <c r="V403" s="788"/>
      <c r="W403" s="789"/>
      <c r="X403" s="789"/>
    </row>
    <row r="404" spans="16:24" s="768" customFormat="1" ht="25" customHeight="1">
      <c r="P404" s="788"/>
      <c r="Q404" s="788"/>
      <c r="R404" s="788"/>
      <c r="S404" s="788"/>
      <c r="T404" s="788"/>
      <c r="U404" s="788"/>
      <c r="V404" s="788"/>
      <c r="W404" s="789"/>
      <c r="X404" s="789"/>
    </row>
    <row r="405" spans="16:24" s="768" customFormat="1" ht="25" customHeight="1">
      <c r="P405" s="788"/>
      <c r="Q405" s="788"/>
      <c r="R405" s="788"/>
      <c r="S405" s="788"/>
      <c r="T405" s="788"/>
      <c r="U405" s="788"/>
      <c r="V405" s="788"/>
      <c r="W405" s="789"/>
      <c r="X405" s="789"/>
    </row>
    <row r="406" spans="16:24" s="768" customFormat="1" ht="25" customHeight="1">
      <c r="P406" s="788"/>
      <c r="Q406" s="788"/>
      <c r="R406" s="788"/>
      <c r="S406" s="788"/>
      <c r="T406" s="788"/>
      <c r="U406" s="788"/>
      <c r="V406" s="788"/>
      <c r="W406" s="789"/>
      <c r="X406" s="789"/>
    </row>
    <row r="407" spans="16:24" s="792" customFormat="1" ht="25" customHeight="1">
      <c r="P407" s="790"/>
      <c r="Q407" s="790"/>
      <c r="R407" s="790"/>
      <c r="S407" s="790"/>
      <c r="T407" s="790"/>
      <c r="U407" s="790"/>
      <c r="V407" s="790"/>
      <c r="W407" s="791"/>
      <c r="X407" s="791"/>
    </row>
    <row r="408" spans="16:24" s="792" customFormat="1" ht="25" customHeight="1">
      <c r="P408" s="790"/>
      <c r="Q408" s="790"/>
      <c r="R408" s="790"/>
      <c r="S408" s="790"/>
      <c r="T408" s="790"/>
      <c r="U408" s="790"/>
      <c r="V408" s="790"/>
      <c r="W408" s="791"/>
      <c r="X408" s="791"/>
    </row>
    <row r="409" spans="16:24" s="792" customFormat="1" ht="25" customHeight="1">
      <c r="P409" s="790"/>
      <c r="Q409" s="790"/>
      <c r="R409" s="790"/>
      <c r="S409" s="790"/>
      <c r="T409" s="790"/>
      <c r="U409" s="790"/>
      <c r="V409" s="790"/>
      <c r="W409" s="791"/>
      <c r="X409" s="791"/>
    </row>
    <row r="410" spans="16:24" s="792" customFormat="1" ht="25" customHeight="1">
      <c r="P410" s="790"/>
      <c r="Q410" s="790"/>
      <c r="R410" s="790"/>
      <c r="S410" s="790"/>
      <c r="T410" s="790"/>
      <c r="U410" s="790"/>
      <c r="V410" s="790"/>
      <c r="W410" s="791"/>
      <c r="X410" s="791"/>
    </row>
    <row r="411" spans="16:24" s="792" customFormat="1" ht="25" customHeight="1">
      <c r="P411" s="790"/>
      <c r="Q411" s="790"/>
      <c r="R411" s="790"/>
      <c r="S411" s="790"/>
      <c r="T411" s="790"/>
      <c r="U411" s="790"/>
      <c r="V411" s="790"/>
      <c r="W411" s="791"/>
      <c r="X411" s="791"/>
    </row>
    <row r="412" spans="16:24" s="792" customFormat="1" ht="25" customHeight="1">
      <c r="P412" s="790"/>
      <c r="Q412" s="790"/>
      <c r="R412" s="790"/>
      <c r="S412" s="790"/>
      <c r="T412" s="790"/>
      <c r="U412" s="790"/>
      <c r="V412" s="790"/>
      <c r="W412" s="791"/>
      <c r="X412" s="791"/>
    </row>
    <row r="413" spans="16:24" s="792" customFormat="1" ht="25" customHeight="1">
      <c r="P413" s="790"/>
      <c r="Q413" s="790"/>
      <c r="R413" s="790"/>
      <c r="S413" s="790"/>
      <c r="T413" s="790"/>
      <c r="U413" s="790"/>
      <c r="V413" s="790"/>
      <c r="W413" s="791"/>
      <c r="X413" s="791"/>
    </row>
    <row r="414" spans="16:24" s="792" customFormat="1" ht="25" customHeight="1">
      <c r="P414" s="790"/>
      <c r="Q414" s="790"/>
      <c r="R414" s="790"/>
      <c r="S414" s="790"/>
      <c r="T414" s="790"/>
      <c r="U414" s="790"/>
      <c r="V414" s="790"/>
      <c r="W414" s="791"/>
      <c r="X414" s="791"/>
    </row>
    <row r="415" spans="16:24" s="792" customFormat="1" ht="25" customHeight="1">
      <c r="P415" s="790"/>
      <c r="Q415" s="790"/>
      <c r="R415" s="790"/>
      <c r="S415" s="790"/>
      <c r="T415" s="790"/>
      <c r="U415" s="790"/>
      <c r="V415" s="790"/>
      <c r="W415" s="791"/>
      <c r="X415" s="791"/>
    </row>
    <row r="416" spans="16:24" s="792" customFormat="1" ht="25" customHeight="1">
      <c r="P416" s="790"/>
      <c r="Q416" s="790"/>
      <c r="R416" s="790"/>
      <c r="S416" s="790"/>
      <c r="T416" s="790"/>
      <c r="U416" s="790"/>
      <c r="V416" s="790"/>
      <c r="W416" s="791"/>
      <c r="X416" s="791"/>
    </row>
    <row r="417" spans="16:24" s="792" customFormat="1" ht="25" customHeight="1">
      <c r="P417" s="790"/>
      <c r="Q417" s="790"/>
      <c r="R417" s="790"/>
      <c r="S417" s="790"/>
      <c r="T417" s="790"/>
      <c r="U417" s="790"/>
      <c r="V417" s="790"/>
      <c r="W417" s="791"/>
      <c r="X417" s="791"/>
    </row>
    <row r="418" spans="16:24" s="792" customFormat="1" ht="25" customHeight="1">
      <c r="P418" s="790"/>
      <c r="Q418" s="790"/>
      <c r="R418" s="790"/>
      <c r="S418" s="790"/>
      <c r="T418" s="790"/>
      <c r="U418" s="790"/>
      <c r="V418" s="790"/>
      <c r="W418" s="791"/>
      <c r="X418" s="791"/>
    </row>
    <row r="419" spans="16:24" s="792" customFormat="1" ht="25" customHeight="1">
      <c r="P419" s="790"/>
      <c r="Q419" s="790"/>
      <c r="R419" s="790"/>
      <c r="S419" s="790"/>
      <c r="T419" s="790"/>
      <c r="U419" s="790"/>
      <c r="V419" s="790"/>
      <c r="W419" s="791"/>
      <c r="X419" s="791"/>
    </row>
    <row r="420" spans="16:24" s="792" customFormat="1" ht="25" customHeight="1">
      <c r="P420" s="790"/>
      <c r="Q420" s="790"/>
      <c r="R420" s="790"/>
      <c r="S420" s="790"/>
      <c r="T420" s="790"/>
      <c r="U420" s="790"/>
      <c r="V420" s="790"/>
      <c r="W420" s="791"/>
      <c r="X420" s="791"/>
    </row>
    <row r="421" spans="16:24" s="792" customFormat="1" ht="25" customHeight="1">
      <c r="P421" s="790"/>
      <c r="Q421" s="790"/>
      <c r="R421" s="790"/>
      <c r="S421" s="790"/>
      <c r="T421" s="790"/>
      <c r="U421" s="790"/>
      <c r="V421" s="790"/>
      <c r="W421" s="791"/>
      <c r="X421" s="791"/>
    </row>
    <row r="422" spans="16:24" s="792" customFormat="1" ht="25" customHeight="1">
      <c r="P422" s="790"/>
      <c r="Q422" s="790"/>
      <c r="R422" s="790"/>
      <c r="S422" s="790"/>
      <c r="T422" s="790"/>
      <c r="U422" s="790"/>
      <c r="V422" s="790"/>
      <c r="W422" s="791"/>
      <c r="X422" s="791"/>
    </row>
    <row r="423" spans="16:24" s="792" customFormat="1" ht="25" customHeight="1">
      <c r="P423" s="790"/>
      <c r="Q423" s="790"/>
      <c r="R423" s="790"/>
      <c r="S423" s="790"/>
      <c r="T423" s="790"/>
      <c r="U423" s="790"/>
      <c r="V423" s="790"/>
      <c r="W423" s="791"/>
      <c r="X423" s="791"/>
    </row>
    <row r="424" spans="16:24" s="792" customFormat="1" ht="25" customHeight="1">
      <c r="P424" s="790"/>
      <c r="Q424" s="790"/>
      <c r="R424" s="790"/>
      <c r="S424" s="790"/>
      <c r="T424" s="790"/>
      <c r="U424" s="790"/>
      <c r="V424" s="790"/>
      <c r="W424" s="791"/>
      <c r="X424" s="791"/>
    </row>
    <row r="425" spans="16:24" s="792" customFormat="1" ht="25" customHeight="1">
      <c r="P425" s="790"/>
      <c r="Q425" s="790"/>
      <c r="R425" s="790"/>
      <c r="S425" s="790"/>
      <c r="T425" s="790"/>
      <c r="U425" s="790"/>
      <c r="V425" s="790"/>
      <c r="W425" s="791"/>
      <c r="X425" s="791"/>
    </row>
    <row r="426" spans="16:24" s="792" customFormat="1" ht="25" customHeight="1">
      <c r="P426" s="790"/>
      <c r="Q426" s="790"/>
      <c r="R426" s="790"/>
      <c r="S426" s="790"/>
      <c r="T426" s="790"/>
      <c r="U426" s="790"/>
      <c r="V426" s="790"/>
      <c r="W426" s="791"/>
      <c r="X426" s="791"/>
    </row>
    <row r="427" spans="16:24" s="792" customFormat="1" ht="25" customHeight="1">
      <c r="P427" s="790"/>
      <c r="Q427" s="790"/>
      <c r="R427" s="790"/>
      <c r="S427" s="790"/>
      <c r="T427" s="790"/>
      <c r="U427" s="790"/>
      <c r="V427" s="790"/>
      <c r="W427" s="791"/>
      <c r="X427" s="791"/>
    </row>
    <row r="428" spans="16:24" s="792" customFormat="1" ht="25" customHeight="1">
      <c r="P428" s="790"/>
      <c r="Q428" s="790"/>
      <c r="R428" s="790"/>
      <c r="S428" s="790"/>
      <c r="T428" s="790"/>
      <c r="U428" s="790"/>
      <c r="V428" s="790"/>
      <c r="W428" s="791"/>
      <c r="X428" s="791"/>
    </row>
    <row r="429" spans="16:24" s="792" customFormat="1" ht="25" customHeight="1">
      <c r="P429" s="790"/>
      <c r="Q429" s="790"/>
      <c r="R429" s="790"/>
      <c r="S429" s="790"/>
      <c r="T429" s="790"/>
      <c r="U429" s="790"/>
      <c r="V429" s="790"/>
      <c r="W429" s="791"/>
      <c r="X429" s="791"/>
    </row>
    <row r="430" spans="16:24" s="792" customFormat="1" ht="25" customHeight="1">
      <c r="P430" s="790"/>
      <c r="Q430" s="790"/>
      <c r="R430" s="790"/>
      <c r="S430" s="790"/>
      <c r="T430" s="790"/>
      <c r="U430" s="790"/>
      <c r="V430" s="790"/>
      <c r="W430" s="791"/>
      <c r="X430" s="791"/>
    </row>
    <row r="431" spans="16:24" s="792" customFormat="1" ht="25" customHeight="1">
      <c r="P431" s="790"/>
      <c r="Q431" s="790"/>
      <c r="R431" s="790"/>
      <c r="S431" s="790"/>
      <c r="T431" s="790"/>
      <c r="U431" s="790"/>
      <c r="V431" s="790"/>
      <c r="W431" s="791"/>
      <c r="X431" s="791"/>
    </row>
    <row r="432" spans="16:24" s="792" customFormat="1" ht="25" customHeight="1">
      <c r="P432" s="790"/>
      <c r="Q432" s="790"/>
      <c r="R432" s="790"/>
      <c r="S432" s="790"/>
      <c r="T432" s="790"/>
      <c r="U432" s="790"/>
      <c r="V432" s="790"/>
      <c r="W432" s="791"/>
      <c r="X432" s="791"/>
    </row>
    <row r="433" spans="16:24" s="792" customFormat="1" ht="25" customHeight="1">
      <c r="P433" s="790"/>
      <c r="Q433" s="790"/>
      <c r="R433" s="790"/>
      <c r="S433" s="790"/>
      <c r="T433" s="790"/>
      <c r="U433" s="790"/>
      <c r="V433" s="790"/>
      <c r="W433" s="791"/>
      <c r="X433" s="791"/>
    </row>
    <row r="434" spans="16:24" s="792" customFormat="1" ht="25" customHeight="1">
      <c r="P434" s="790"/>
      <c r="Q434" s="790"/>
      <c r="R434" s="790"/>
      <c r="S434" s="790"/>
      <c r="T434" s="790"/>
      <c r="U434" s="790"/>
      <c r="V434" s="790"/>
      <c r="W434" s="791"/>
      <c r="X434" s="791"/>
    </row>
    <row r="435" spans="16:24" s="792" customFormat="1" ht="16.5">
      <c r="P435" s="790"/>
      <c r="Q435" s="790"/>
      <c r="R435" s="790"/>
      <c r="S435" s="790"/>
      <c r="T435" s="790"/>
      <c r="U435" s="790"/>
      <c r="V435" s="790"/>
      <c r="W435" s="791"/>
      <c r="X435" s="791"/>
    </row>
    <row r="436" spans="16:24" s="792" customFormat="1" ht="16.5">
      <c r="P436" s="790"/>
      <c r="Q436" s="790"/>
      <c r="R436" s="790"/>
      <c r="S436" s="790"/>
      <c r="T436" s="790"/>
      <c r="U436" s="790"/>
      <c r="V436" s="790"/>
      <c r="W436" s="791"/>
      <c r="X436" s="791"/>
    </row>
    <row r="437" spans="16:24" s="792" customFormat="1" ht="16.5">
      <c r="P437" s="790"/>
      <c r="Q437" s="790"/>
      <c r="R437" s="790"/>
      <c r="S437" s="790"/>
      <c r="T437" s="790"/>
      <c r="U437" s="790"/>
      <c r="V437" s="790"/>
      <c r="W437" s="791"/>
      <c r="X437" s="791"/>
    </row>
    <row r="438" spans="16:24" s="792" customFormat="1" ht="16.5">
      <c r="P438" s="790"/>
      <c r="Q438" s="790"/>
      <c r="R438" s="790"/>
      <c r="S438" s="790"/>
      <c r="T438" s="790"/>
      <c r="U438" s="790"/>
      <c r="V438" s="790"/>
      <c r="W438" s="791"/>
      <c r="X438" s="791"/>
    </row>
    <row r="439" spans="16:24" s="792" customFormat="1" ht="16.5">
      <c r="P439" s="790"/>
      <c r="Q439" s="790"/>
      <c r="R439" s="790"/>
      <c r="S439" s="790"/>
      <c r="T439" s="790"/>
      <c r="U439" s="790"/>
      <c r="V439" s="790"/>
      <c r="W439" s="791"/>
      <c r="X439" s="791"/>
    </row>
    <row r="440" spans="16:24" s="792" customFormat="1" ht="16.5">
      <c r="P440" s="790"/>
      <c r="Q440" s="790"/>
      <c r="R440" s="790"/>
      <c r="S440" s="790"/>
      <c r="T440" s="790"/>
      <c r="U440" s="790"/>
      <c r="V440" s="790"/>
      <c r="W440" s="791"/>
      <c r="X440" s="791"/>
    </row>
    <row r="441" spans="16:24" s="792" customFormat="1" ht="16.5">
      <c r="P441" s="790"/>
      <c r="Q441" s="790"/>
      <c r="R441" s="790"/>
      <c r="S441" s="790"/>
      <c r="T441" s="790"/>
      <c r="U441" s="790"/>
      <c r="V441" s="790"/>
      <c r="W441" s="791"/>
      <c r="X441" s="791"/>
    </row>
    <row r="442" spans="16:24" s="792" customFormat="1" ht="16.5">
      <c r="P442" s="790"/>
      <c r="Q442" s="790"/>
      <c r="R442" s="790"/>
      <c r="S442" s="790"/>
      <c r="T442" s="790"/>
      <c r="U442" s="790"/>
      <c r="V442" s="790"/>
      <c r="W442" s="791"/>
      <c r="X442" s="791"/>
    </row>
    <row r="443" spans="16:24" s="792" customFormat="1" ht="16.5">
      <c r="P443" s="790"/>
      <c r="Q443" s="790"/>
      <c r="R443" s="790"/>
      <c r="S443" s="790"/>
      <c r="T443" s="790"/>
      <c r="U443" s="790"/>
      <c r="V443" s="790"/>
      <c r="W443" s="791"/>
      <c r="X443" s="791"/>
    </row>
    <row r="444" spans="16:24" s="792" customFormat="1" ht="16.5">
      <c r="P444" s="790"/>
      <c r="Q444" s="790"/>
      <c r="R444" s="790"/>
      <c r="S444" s="790"/>
      <c r="T444" s="790"/>
      <c r="U444" s="790"/>
      <c r="V444" s="790"/>
      <c r="W444" s="791"/>
      <c r="X444" s="791"/>
    </row>
    <row r="445" spans="16:24" s="792" customFormat="1" ht="16.5">
      <c r="P445" s="790"/>
      <c r="Q445" s="790"/>
      <c r="R445" s="790"/>
      <c r="S445" s="790"/>
      <c r="T445" s="790"/>
      <c r="U445" s="790"/>
      <c r="V445" s="790"/>
      <c r="W445" s="791"/>
      <c r="X445" s="791"/>
    </row>
    <row r="446" spans="16:24" s="792" customFormat="1" ht="16.5">
      <c r="P446" s="790"/>
      <c r="Q446" s="790"/>
      <c r="R446" s="790"/>
      <c r="S446" s="790"/>
      <c r="T446" s="790"/>
      <c r="U446" s="790"/>
      <c r="V446" s="790"/>
      <c r="W446" s="791"/>
      <c r="X446" s="791"/>
    </row>
    <row r="447" spans="16:24" s="792" customFormat="1" ht="16.5">
      <c r="P447" s="790"/>
      <c r="Q447" s="790"/>
      <c r="R447" s="790"/>
      <c r="S447" s="790"/>
      <c r="T447" s="790"/>
      <c r="U447" s="790"/>
      <c r="V447" s="790"/>
      <c r="W447" s="791"/>
      <c r="X447" s="791"/>
    </row>
    <row r="448" spans="16:24" s="792" customFormat="1" ht="16.5">
      <c r="P448" s="790"/>
      <c r="Q448" s="790"/>
      <c r="R448" s="790"/>
      <c r="S448" s="790"/>
      <c r="T448" s="790"/>
      <c r="U448" s="790"/>
      <c r="V448" s="790"/>
      <c r="W448" s="791"/>
      <c r="X448" s="791"/>
    </row>
    <row r="449" spans="16:24" s="792" customFormat="1" ht="16.5">
      <c r="P449" s="790"/>
      <c r="Q449" s="790"/>
      <c r="R449" s="790"/>
      <c r="S449" s="790"/>
      <c r="T449" s="790"/>
      <c r="U449" s="790"/>
      <c r="V449" s="790"/>
      <c r="W449" s="791"/>
      <c r="X449" s="791"/>
    </row>
    <row r="450" spans="16:24" s="792" customFormat="1" ht="16.5">
      <c r="P450" s="790"/>
      <c r="Q450" s="790"/>
      <c r="R450" s="790"/>
      <c r="S450" s="790"/>
      <c r="T450" s="790"/>
      <c r="U450" s="790"/>
      <c r="V450" s="790"/>
      <c r="W450" s="791"/>
      <c r="X450" s="791"/>
    </row>
    <row r="451" spans="16:24" s="792" customFormat="1" ht="16.5">
      <c r="P451" s="790"/>
      <c r="Q451" s="790"/>
      <c r="R451" s="790"/>
      <c r="S451" s="790"/>
      <c r="T451" s="790"/>
      <c r="U451" s="790"/>
      <c r="V451" s="790"/>
      <c r="W451" s="791"/>
      <c r="X451" s="791"/>
    </row>
    <row r="452" spans="16:24" s="792" customFormat="1" ht="16.5">
      <c r="P452" s="790"/>
      <c r="Q452" s="790"/>
      <c r="R452" s="790"/>
      <c r="S452" s="790"/>
      <c r="T452" s="790"/>
      <c r="U452" s="790"/>
      <c r="V452" s="790"/>
      <c r="W452" s="791"/>
      <c r="X452" s="791"/>
    </row>
    <row r="453" spans="16:24" s="792" customFormat="1" ht="16.5">
      <c r="P453" s="790"/>
      <c r="Q453" s="790"/>
      <c r="R453" s="790"/>
      <c r="S453" s="790"/>
      <c r="T453" s="790"/>
      <c r="U453" s="790"/>
      <c r="V453" s="790"/>
      <c r="W453" s="791"/>
      <c r="X453" s="790"/>
    </row>
    <row r="454" spans="16:24" s="792" customFormat="1" ht="16.5">
      <c r="P454" s="790"/>
      <c r="Q454" s="790"/>
      <c r="R454" s="790"/>
      <c r="S454" s="790"/>
      <c r="T454" s="790"/>
      <c r="U454" s="790"/>
      <c r="V454" s="790"/>
      <c r="W454" s="791"/>
      <c r="X454" s="790"/>
    </row>
    <row r="455" spans="16:24" s="792" customFormat="1" ht="16.5">
      <c r="P455" s="790"/>
      <c r="Q455" s="790"/>
      <c r="R455" s="790"/>
      <c r="S455" s="790"/>
      <c r="T455" s="790"/>
      <c r="U455" s="790"/>
      <c r="V455" s="790"/>
      <c r="W455" s="791"/>
      <c r="X455" s="790"/>
    </row>
    <row r="456" spans="16:24" s="792" customFormat="1" ht="16.5">
      <c r="P456" s="790"/>
      <c r="Q456" s="790"/>
      <c r="R456" s="790"/>
      <c r="S456" s="790"/>
      <c r="T456" s="790"/>
      <c r="U456" s="790"/>
      <c r="V456" s="790"/>
      <c r="W456" s="791"/>
      <c r="X456" s="790"/>
    </row>
    <row r="457" spans="16:24" s="792" customFormat="1" ht="16.5">
      <c r="P457" s="790"/>
      <c r="Q457" s="790"/>
      <c r="R457" s="790"/>
      <c r="S457" s="790"/>
      <c r="T457" s="790"/>
      <c r="U457" s="790"/>
      <c r="V457" s="790"/>
      <c r="W457" s="791"/>
      <c r="X457" s="790"/>
    </row>
    <row r="458" spans="16:24" s="792" customFormat="1" ht="16.5">
      <c r="P458" s="790"/>
      <c r="Q458" s="790"/>
      <c r="R458" s="790"/>
      <c r="S458" s="790"/>
      <c r="T458" s="790"/>
      <c r="U458" s="790"/>
      <c r="V458" s="790"/>
      <c r="W458" s="791"/>
      <c r="X458" s="790"/>
    </row>
    <row r="459" spans="16:24" s="792" customFormat="1" ht="16.5">
      <c r="P459" s="790"/>
      <c r="Q459" s="790"/>
      <c r="R459" s="790"/>
      <c r="S459" s="790"/>
      <c r="T459" s="790"/>
      <c r="U459" s="790"/>
      <c r="V459" s="790"/>
      <c r="W459" s="791"/>
      <c r="X459" s="790"/>
    </row>
    <row r="460" spans="16:24" s="792" customFormat="1" ht="16.5">
      <c r="P460" s="790"/>
      <c r="Q460" s="790"/>
      <c r="R460" s="790"/>
      <c r="S460" s="790"/>
      <c r="T460" s="790"/>
      <c r="U460" s="790"/>
      <c r="V460" s="790"/>
      <c r="W460" s="791"/>
      <c r="X460" s="790"/>
    </row>
    <row r="461" spans="16:24" s="792" customFormat="1" ht="16.5">
      <c r="P461" s="790"/>
      <c r="Q461" s="790"/>
      <c r="R461" s="790"/>
      <c r="S461" s="790"/>
      <c r="T461" s="790"/>
      <c r="U461" s="790"/>
      <c r="V461" s="790"/>
      <c r="W461" s="791"/>
      <c r="X461" s="790"/>
    </row>
    <row r="462" spans="16:24" s="792" customFormat="1" ht="16.5">
      <c r="P462" s="790"/>
      <c r="Q462" s="790"/>
      <c r="R462" s="790"/>
      <c r="S462" s="790"/>
      <c r="T462" s="790"/>
      <c r="U462" s="790"/>
      <c r="V462" s="790"/>
      <c r="W462" s="791"/>
      <c r="X462" s="790"/>
    </row>
    <row r="463" spans="16:24" s="792" customFormat="1" ht="16.5">
      <c r="P463" s="790"/>
      <c r="Q463" s="790"/>
      <c r="R463" s="790"/>
      <c r="S463" s="790"/>
      <c r="T463" s="790"/>
      <c r="U463" s="790"/>
      <c r="V463" s="790"/>
      <c r="W463" s="791"/>
      <c r="X463" s="790"/>
    </row>
    <row r="464" spans="16:24" s="792" customFormat="1" ht="16.5">
      <c r="P464" s="790"/>
      <c r="Q464" s="790"/>
      <c r="R464" s="790"/>
      <c r="S464" s="790"/>
      <c r="T464" s="790"/>
      <c r="U464" s="790"/>
      <c r="V464" s="790"/>
      <c r="W464" s="791"/>
      <c r="X464" s="790"/>
    </row>
    <row r="465" spans="16:24" s="792" customFormat="1" ht="16.5">
      <c r="P465" s="790"/>
      <c r="Q465" s="790"/>
      <c r="R465" s="790"/>
      <c r="S465" s="790"/>
      <c r="T465" s="790"/>
      <c r="U465" s="790"/>
      <c r="V465" s="790"/>
      <c r="W465" s="791"/>
      <c r="X465" s="790"/>
    </row>
    <row r="466" spans="16:24" s="792" customFormat="1" ht="16.5">
      <c r="P466" s="790"/>
      <c r="Q466" s="790"/>
      <c r="R466" s="790"/>
      <c r="S466" s="790"/>
      <c r="T466" s="790"/>
      <c r="U466" s="790"/>
      <c r="V466" s="790"/>
      <c r="W466" s="791"/>
      <c r="X466" s="790"/>
    </row>
    <row r="467" spans="16:24" s="792" customFormat="1" ht="16.5">
      <c r="P467" s="790"/>
      <c r="Q467" s="790"/>
      <c r="R467" s="790"/>
      <c r="S467" s="790"/>
      <c r="T467" s="790"/>
      <c r="U467" s="790"/>
      <c r="V467" s="790"/>
      <c r="W467" s="791"/>
      <c r="X467" s="790"/>
    </row>
    <row r="468" spans="16:24" s="792" customFormat="1" ht="16.5">
      <c r="P468" s="790"/>
      <c r="Q468" s="790"/>
      <c r="R468" s="790"/>
      <c r="S468" s="790"/>
      <c r="T468" s="790"/>
      <c r="U468" s="790"/>
      <c r="V468" s="790"/>
      <c r="W468" s="791"/>
      <c r="X468" s="790"/>
    </row>
    <row r="469" spans="16:24" s="792" customFormat="1" ht="16.5">
      <c r="P469" s="790"/>
      <c r="Q469" s="790"/>
      <c r="R469" s="790"/>
      <c r="S469" s="790"/>
      <c r="T469" s="790"/>
      <c r="U469" s="790"/>
      <c r="V469" s="790"/>
      <c r="W469" s="791"/>
      <c r="X469" s="790"/>
    </row>
    <row r="470" spans="16:24" s="792" customFormat="1" ht="16.5">
      <c r="P470" s="790"/>
      <c r="Q470" s="790"/>
      <c r="R470" s="790"/>
      <c r="S470" s="790"/>
      <c r="T470" s="790"/>
      <c r="U470" s="790"/>
      <c r="V470" s="790"/>
      <c r="W470" s="791"/>
      <c r="X470" s="790"/>
    </row>
    <row r="471" spans="16:24" s="792" customFormat="1" ht="16.5">
      <c r="P471" s="790"/>
      <c r="Q471" s="790"/>
      <c r="R471" s="790"/>
      <c r="S471" s="790"/>
      <c r="T471" s="790"/>
      <c r="U471" s="790"/>
      <c r="V471" s="790"/>
      <c r="W471" s="791"/>
      <c r="X471" s="790"/>
    </row>
    <row r="472" spans="16:24" s="792" customFormat="1" ht="16.5">
      <c r="P472" s="790"/>
      <c r="Q472" s="790"/>
      <c r="R472" s="790"/>
      <c r="S472" s="790"/>
      <c r="T472" s="790"/>
      <c r="U472" s="790"/>
      <c r="V472" s="790"/>
      <c r="W472" s="791"/>
      <c r="X472" s="790"/>
    </row>
    <row r="473" spans="16:24" s="792" customFormat="1" ht="16.5">
      <c r="P473" s="790"/>
      <c r="Q473" s="790"/>
      <c r="R473" s="790"/>
      <c r="S473" s="790"/>
      <c r="T473" s="790"/>
      <c r="U473" s="790"/>
      <c r="V473" s="790"/>
      <c r="W473" s="791"/>
      <c r="X473" s="790"/>
    </row>
    <row r="474" spans="16:24" s="792" customFormat="1" ht="16.5">
      <c r="P474" s="790"/>
      <c r="Q474" s="790"/>
      <c r="R474" s="790"/>
      <c r="S474" s="790"/>
      <c r="T474" s="790"/>
      <c r="U474" s="790"/>
      <c r="V474" s="790"/>
      <c r="W474" s="791"/>
      <c r="X474" s="790"/>
    </row>
    <row r="475" spans="16:24" s="792" customFormat="1" ht="16.5">
      <c r="P475" s="790"/>
      <c r="Q475" s="790"/>
      <c r="R475" s="790"/>
      <c r="S475" s="790"/>
      <c r="T475" s="790"/>
      <c r="U475" s="790"/>
      <c r="V475" s="790"/>
      <c r="W475" s="790"/>
      <c r="X475" s="790"/>
    </row>
    <row r="476" spans="16:24" s="792" customFormat="1" ht="16.5">
      <c r="P476" s="790"/>
      <c r="Q476" s="790"/>
      <c r="R476" s="790"/>
      <c r="S476" s="790"/>
      <c r="T476" s="790"/>
      <c r="U476" s="790"/>
      <c r="V476" s="790"/>
      <c r="W476" s="790"/>
      <c r="X476" s="790"/>
    </row>
    <row r="477" spans="16:24" s="792" customFormat="1" ht="16.5">
      <c r="P477" s="790"/>
      <c r="Q477" s="790"/>
      <c r="R477" s="790"/>
      <c r="S477" s="790"/>
      <c r="T477" s="790"/>
      <c r="U477" s="790"/>
      <c r="V477" s="790"/>
      <c r="W477" s="790"/>
      <c r="X477" s="790"/>
    </row>
    <row r="478" spans="16:24" s="792" customFormat="1" ht="16.5">
      <c r="P478" s="790"/>
      <c r="Q478" s="790"/>
      <c r="R478" s="790"/>
      <c r="S478" s="790"/>
      <c r="T478" s="790"/>
      <c r="U478" s="790"/>
      <c r="V478" s="790"/>
      <c r="W478" s="790"/>
      <c r="X478" s="790"/>
    </row>
    <row r="479" spans="16:24" s="792" customFormat="1" ht="16.5">
      <c r="P479" s="790"/>
      <c r="Q479" s="790"/>
      <c r="R479" s="790"/>
      <c r="S479" s="790"/>
      <c r="T479" s="790"/>
      <c r="U479" s="790"/>
      <c r="V479" s="790"/>
      <c r="W479" s="790"/>
      <c r="X479" s="790"/>
    </row>
    <row r="480" spans="16:24" s="792" customFormat="1" ht="16.5">
      <c r="P480" s="790"/>
      <c r="Q480" s="790"/>
      <c r="R480" s="790"/>
      <c r="S480" s="790"/>
      <c r="T480" s="790"/>
      <c r="U480" s="790"/>
      <c r="V480" s="790"/>
      <c r="W480" s="790"/>
      <c r="X480" s="790"/>
    </row>
    <row r="481" spans="16:24" s="792" customFormat="1" ht="16.5">
      <c r="P481" s="790"/>
      <c r="Q481" s="790"/>
      <c r="R481" s="790"/>
      <c r="S481" s="790"/>
      <c r="T481" s="790"/>
      <c r="U481" s="790"/>
      <c r="V481" s="790"/>
      <c r="W481" s="790"/>
      <c r="X481" s="790"/>
    </row>
    <row r="482" spans="16:24" s="792" customFormat="1" ht="16.5">
      <c r="P482" s="790"/>
      <c r="Q482" s="790"/>
      <c r="R482" s="790"/>
      <c r="S482" s="790"/>
      <c r="T482" s="790"/>
      <c r="U482" s="790"/>
      <c r="V482" s="790"/>
      <c r="W482" s="790"/>
      <c r="X482" s="790"/>
    </row>
    <row r="483" spans="16:24" s="792" customFormat="1" ht="16.5">
      <c r="P483" s="790"/>
      <c r="Q483" s="790"/>
      <c r="R483" s="790"/>
      <c r="S483" s="790"/>
      <c r="T483" s="790"/>
      <c r="U483" s="790"/>
      <c r="V483" s="790"/>
      <c r="W483" s="790"/>
      <c r="X483" s="790"/>
    </row>
    <row r="484" spans="16:24" s="792" customFormat="1" ht="16.5">
      <c r="P484" s="790"/>
      <c r="Q484" s="790"/>
      <c r="R484" s="790"/>
      <c r="S484" s="790"/>
      <c r="T484" s="790"/>
      <c r="U484" s="790"/>
      <c r="V484" s="790"/>
      <c r="W484" s="790"/>
      <c r="X484" s="790"/>
    </row>
    <row r="485" spans="16:24" s="792" customFormat="1" ht="16.5">
      <c r="P485" s="790"/>
      <c r="Q485" s="790"/>
      <c r="R485" s="790"/>
      <c r="S485" s="790"/>
      <c r="T485" s="790"/>
      <c r="U485" s="790"/>
      <c r="V485" s="790"/>
      <c r="W485" s="790"/>
      <c r="X485" s="790"/>
    </row>
    <row r="486" spans="16:24" s="792" customFormat="1" ht="16.5">
      <c r="P486" s="790"/>
      <c r="Q486" s="790"/>
      <c r="R486" s="790"/>
      <c r="S486" s="790"/>
      <c r="T486" s="790"/>
      <c r="U486" s="790"/>
      <c r="V486" s="790"/>
      <c r="W486" s="790"/>
      <c r="X486" s="790"/>
    </row>
    <row r="487" spans="16:24" s="792" customFormat="1" ht="16.5">
      <c r="P487" s="790"/>
      <c r="Q487" s="790"/>
      <c r="R487" s="790"/>
      <c r="S487" s="790"/>
      <c r="T487" s="790"/>
      <c r="U487" s="790"/>
      <c r="V487" s="790"/>
      <c r="W487" s="790"/>
      <c r="X487" s="790"/>
    </row>
    <row r="488" spans="16:24" s="792" customFormat="1" ht="16.5">
      <c r="P488" s="790"/>
      <c r="Q488" s="790"/>
      <c r="R488" s="790"/>
      <c r="S488" s="790"/>
      <c r="T488" s="790"/>
      <c r="U488" s="790"/>
      <c r="V488" s="790"/>
      <c r="W488" s="790"/>
      <c r="X488" s="790"/>
    </row>
    <row r="489" spans="16:24" s="792" customFormat="1" ht="16.5">
      <c r="P489" s="790"/>
      <c r="Q489" s="790"/>
      <c r="R489" s="790"/>
      <c r="S489" s="790"/>
      <c r="T489" s="790"/>
      <c r="U489" s="790"/>
      <c r="V489" s="790"/>
      <c r="W489" s="790"/>
      <c r="X489" s="790"/>
    </row>
    <row r="490" spans="16:24" s="792" customFormat="1" ht="16.5">
      <c r="P490" s="790"/>
      <c r="Q490" s="790"/>
      <c r="R490" s="790"/>
      <c r="S490" s="790"/>
      <c r="T490" s="790"/>
      <c r="U490" s="790"/>
      <c r="V490" s="790"/>
      <c r="W490" s="790"/>
      <c r="X490" s="790"/>
    </row>
    <row r="491" spans="16:24" s="792" customFormat="1" ht="16.5">
      <c r="P491" s="790"/>
      <c r="Q491" s="790"/>
      <c r="R491" s="790"/>
      <c r="S491" s="790"/>
      <c r="T491" s="790"/>
      <c r="U491" s="790"/>
      <c r="V491" s="790"/>
      <c r="W491" s="790"/>
      <c r="X491" s="790"/>
    </row>
    <row r="492" spans="16:24" s="792" customFormat="1" ht="16.5">
      <c r="P492" s="790"/>
      <c r="Q492" s="790"/>
      <c r="R492" s="790"/>
      <c r="S492" s="790"/>
      <c r="T492" s="790"/>
      <c r="U492" s="790"/>
      <c r="V492" s="790"/>
      <c r="W492" s="790"/>
      <c r="X492" s="790"/>
    </row>
    <row r="493" spans="16:24" s="792" customFormat="1" ht="16.5">
      <c r="P493" s="790"/>
      <c r="Q493" s="790"/>
      <c r="R493" s="790"/>
      <c r="S493" s="790"/>
      <c r="T493" s="790"/>
      <c r="U493" s="790"/>
      <c r="V493" s="790"/>
      <c r="W493" s="790"/>
      <c r="X493" s="790"/>
    </row>
    <row r="494" spans="16:24" s="792" customFormat="1" ht="16.5">
      <c r="P494" s="790"/>
      <c r="Q494" s="790"/>
      <c r="R494" s="790"/>
      <c r="S494" s="790"/>
      <c r="T494" s="790"/>
      <c r="U494" s="790"/>
      <c r="V494" s="790"/>
      <c r="W494" s="790"/>
      <c r="X494" s="790"/>
    </row>
    <row r="495" spans="16:24" s="792" customFormat="1" ht="16.5">
      <c r="P495" s="790"/>
      <c r="Q495" s="790"/>
      <c r="R495" s="790"/>
      <c r="S495" s="790"/>
      <c r="T495" s="790"/>
      <c r="U495" s="790"/>
      <c r="V495" s="790"/>
      <c r="W495" s="790"/>
      <c r="X495" s="790"/>
    </row>
    <row r="496" spans="16:24" s="792" customFormat="1" ht="16.5">
      <c r="P496" s="790"/>
      <c r="Q496" s="790"/>
      <c r="R496" s="790"/>
      <c r="S496" s="790"/>
      <c r="T496" s="790"/>
      <c r="U496" s="790"/>
      <c r="V496" s="790"/>
      <c r="W496" s="790"/>
      <c r="X496" s="790"/>
    </row>
    <row r="497" spans="16:24" s="792" customFormat="1" ht="16.5">
      <c r="P497" s="790"/>
      <c r="Q497" s="790"/>
      <c r="R497" s="790"/>
      <c r="S497" s="790"/>
      <c r="T497" s="790"/>
      <c r="U497" s="790"/>
      <c r="V497" s="790"/>
      <c r="W497" s="790"/>
      <c r="X497" s="790"/>
    </row>
    <row r="498" spans="16:24" s="792" customFormat="1" ht="16.5">
      <c r="P498" s="790"/>
      <c r="Q498" s="790"/>
      <c r="R498" s="790"/>
      <c r="S498" s="790"/>
      <c r="T498" s="790"/>
      <c r="U498" s="790"/>
      <c r="V498" s="790"/>
      <c r="W498" s="790"/>
      <c r="X498" s="790"/>
    </row>
    <row r="499" spans="16:24" s="792" customFormat="1" ht="16.5">
      <c r="P499" s="790"/>
      <c r="Q499" s="790"/>
      <c r="R499" s="790"/>
      <c r="S499" s="790"/>
      <c r="T499" s="790"/>
      <c r="U499" s="790"/>
      <c r="V499" s="790"/>
      <c r="W499" s="790"/>
      <c r="X499" s="790"/>
    </row>
    <row r="500" spans="16:24" s="792" customFormat="1" ht="16.5">
      <c r="P500" s="790"/>
      <c r="Q500" s="790"/>
      <c r="R500" s="790"/>
      <c r="S500" s="790"/>
      <c r="T500" s="790"/>
      <c r="U500" s="790"/>
      <c r="V500" s="790"/>
      <c r="W500" s="790"/>
      <c r="X500" s="790"/>
    </row>
    <row r="501" spans="16:24" s="792" customFormat="1" ht="16.5">
      <c r="P501" s="790"/>
      <c r="Q501" s="790"/>
      <c r="R501" s="790"/>
      <c r="S501" s="790"/>
      <c r="T501" s="790"/>
      <c r="U501" s="790"/>
      <c r="V501" s="790"/>
      <c r="W501" s="790"/>
      <c r="X501" s="790"/>
    </row>
    <row r="502" spans="16:24" s="793" customFormat="1" ht="16.5">
      <c r="P502" s="790"/>
      <c r="Q502" s="790"/>
      <c r="R502" s="790"/>
      <c r="S502" s="790"/>
      <c r="T502" s="790"/>
      <c r="U502" s="790"/>
      <c r="V502" s="790"/>
      <c r="W502" s="790"/>
      <c r="X502" s="790"/>
    </row>
    <row r="503" spans="16:24" s="793" customFormat="1" ht="16.5">
      <c r="P503" s="790"/>
      <c r="Q503" s="790"/>
      <c r="R503" s="790"/>
      <c r="S503" s="790"/>
      <c r="T503" s="790"/>
      <c r="U503" s="790"/>
      <c r="V503" s="790"/>
      <c r="W503" s="790"/>
      <c r="X503" s="790"/>
    </row>
    <row r="504" spans="16:24" s="793" customFormat="1" ht="16.5">
      <c r="P504" s="790"/>
      <c r="Q504" s="790"/>
      <c r="R504" s="790"/>
      <c r="S504" s="790"/>
      <c r="T504" s="790"/>
      <c r="U504" s="790"/>
      <c r="V504" s="790"/>
      <c r="W504" s="790"/>
      <c r="X504" s="790"/>
    </row>
    <row r="505" spans="16:24" s="793" customFormat="1" ht="16.5">
      <c r="P505" s="790"/>
      <c r="Q505" s="790"/>
      <c r="R505" s="790"/>
      <c r="S505" s="790"/>
      <c r="T505" s="790"/>
      <c r="U505" s="790"/>
      <c r="V505" s="790"/>
      <c r="W505" s="790"/>
      <c r="X505" s="790"/>
    </row>
    <row r="506" spans="16:24" s="793" customFormat="1" ht="16.5">
      <c r="P506" s="790"/>
      <c r="Q506" s="790"/>
      <c r="R506" s="790"/>
      <c r="S506" s="790"/>
      <c r="T506" s="790"/>
      <c r="U506" s="790"/>
      <c r="V506" s="790"/>
      <c r="W506" s="790"/>
      <c r="X506" s="790"/>
    </row>
    <row r="507" spans="16:24" s="793" customFormat="1" ht="16.5">
      <c r="P507" s="790"/>
      <c r="Q507" s="790"/>
      <c r="R507" s="790"/>
      <c r="S507" s="790"/>
      <c r="T507" s="790"/>
      <c r="U507" s="790"/>
      <c r="V507" s="790"/>
      <c r="W507" s="790"/>
      <c r="X507" s="790"/>
    </row>
    <row r="508" spans="16:24" s="793" customFormat="1" ht="16.5">
      <c r="P508" s="790"/>
      <c r="Q508" s="790"/>
      <c r="R508" s="790"/>
      <c r="S508" s="790"/>
      <c r="T508" s="790"/>
      <c r="U508" s="790"/>
      <c r="V508" s="790"/>
      <c r="W508" s="790"/>
      <c r="X508" s="790"/>
    </row>
    <row r="509" spans="16:24" s="793" customFormat="1" ht="16.5">
      <c r="P509" s="790"/>
      <c r="Q509" s="790"/>
      <c r="R509" s="790"/>
      <c r="S509" s="790"/>
      <c r="T509" s="790"/>
      <c r="U509" s="790"/>
      <c r="V509" s="790"/>
      <c r="W509" s="790"/>
      <c r="X509" s="790"/>
    </row>
    <row r="510" spans="16:24" s="793" customFormat="1" ht="16.5">
      <c r="P510" s="790"/>
      <c r="Q510" s="790"/>
      <c r="R510" s="790"/>
      <c r="S510" s="790"/>
      <c r="T510" s="790"/>
      <c r="U510" s="790"/>
      <c r="V510" s="790"/>
      <c r="W510" s="790"/>
      <c r="X510" s="790"/>
    </row>
    <row r="511" spans="16:24" s="793" customFormat="1" ht="16.5">
      <c r="P511" s="790"/>
      <c r="Q511" s="790"/>
      <c r="R511" s="790"/>
      <c r="S511" s="790"/>
      <c r="T511" s="790"/>
      <c r="U511" s="790"/>
      <c r="V511" s="790"/>
      <c r="W511" s="790"/>
      <c r="X511" s="790"/>
    </row>
    <row r="512" spans="16:24" s="793" customFormat="1" ht="16.5">
      <c r="P512" s="790"/>
      <c r="Q512" s="790"/>
      <c r="R512" s="790"/>
      <c r="S512" s="790"/>
      <c r="T512" s="790"/>
      <c r="U512" s="790"/>
      <c r="V512" s="790"/>
      <c r="W512" s="790"/>
      <c r="X512" s="790"/>
    </row>
    <row r="513" spans="16:24" s="793" customFormat="1" ht="16.5">
      <c r="P513" s="790"/>
      <c r="Q513" s="790"/>
      <c r="R513" s="790"/>
      <c r="S513" s="790"/>
      <c r="T513" s="790"/>
      <c r="U513" s="790"/>
      <c r="V513" s="790"/>
      <c r="W513" s="790"/>
      <c r="X513" s="790"/>
    </row>
    <row r="514" spans="16:24" s="793" customFormat="1" ht="16.5">
      <c r="P514" s="790"/>
      <c r="Q514" s="790"/>
      <c r="R514" s="790"/>
      <c r="S514" s="790"/>
      <c r="T514" s="790"/>
      <c r="U514" s="790"/>
      <c r="V514" s="790"/>
      <c r="W514" s="790"/>
      <c r="X514" s="790"/>
    </row>
    <row r="515" spans="16:24" s="793" customFormat="1" ht="16.5">
      <c r="P515" s="790"/>
      <c r="Q515" s="790"/>
      <c r="R515" s="790"/>
      <c r="S515" s="790"/>
      <c r="T515" s="790"/>
      <c r="U515" s="790"/>
      <c r="V515" s="790"/>
      <c r="W515" s="790"/>
      <c r="X515" s="790"/>
    </row>
    <row r="516" spans="16:24" s="793" customFormat="1" ht="16.5">
      <c r="P516" s="790"/>
      <c r="Q516" s="790"/>
      <c r="R516" s="790"/>
      <c r="S516" s="790"/>
      <c r="T516" s="790"/>
      <c r="U516" s="790"/>
      <c r="V516" s="790"/>
      <c r="W516" s="790"/>
      <c r="X516" s="790"/>
    </row>
    <row r="517" spans="16:24" s="793" customFormat="1" ht="16.5">
      <c r="P517" s="790"/>
      <c r="Q517" s="790"/>
      <c r="R517" s="790"/>
      <c r="S517" s="790"/>
      <c r="T517" s="790"/>
      <c r="U517" s="790"/>
      <c r="V517" s="790"/>
      <c r="W517" s="790"/>
      <c r="X517" s="790"/>
    </row>
    <row r="518" spans="16:24" s="793" customFormat="1" ht="16.5">
      <c r="P518" s="792"/>
      <c r="Q518" s="792"/>
      <c r="R518" s="792"/>
      <c r="S518" s="792"/>
      <c r="T518" s="792"/>
      <c r="U518" s="792"/>
      <c r="V518" s="792"/>
      <c r="W518" s="792"/>
      <c r="X518" s="792"/>
    </row>
    <row r="519" spans="16:24" s="793" customFormat="1" ht="16.5">
      <c r="P519" s="792"/>
      <c r="Q519" s="792"/>
      <c r="R519" s="792"/>
      <c r="S519" s="792"/>
      <c r="T519" s="792"/>
      <c r="U519" s="792"/>
      <c r="V519" s="792"/>
      <c r="W519" s="792"/>
      <c r="X519" s="792"/>
    </row>
    <row r="520" spans="16:24" s="793" customFormat="1" ht="16.5">
      <c r="P520" s="792"/>
      <c r="Q520" s="792"/>
      <c r="R520" s="792"/>
      <c r="S520" s="792"/>
      <c r="T520" s="792"/>
      <c r="U520" s="792"/>
      <c r="V520" s="792"/>
      <c r="W520" s="792"/>
      <c r="X520" s="792"/>
    </row>
    <row r="521" spans="16:24" s="793" customFormat="1" ht="16.5">
      <c r="P521" s="792"/>
      <c r="Q521" s="792"/>
      <c r="R521" s="792"/>
      <c r="S521" s="792"/>
      <c r="T521" s="792"/>
      <c r="U521" s="792"/>
      <c r="V521" s="792"/>
      <c r="W521" s="792"/>
      <c r="X521" s="792"/>
    </row>
    <row r="522" spans="16:24" s="793" customFormat="1" ht="16.5">
      <c r="P522" s="792"/>
      <c r="Q522" s="792"/>
      <c r="R522" s="792"/>
      <c r="S522" s="792"/>
      <c r="T522" s="792"/>
      <c r="U522" s="792"/>
      <c r="V522" s="792"/>
      <c r="W522" s="792"/>
      <c r="X522" s="792"/>
    </row>
    <row r="523" spans="16:24" s="793" customFormat="1" ht="16.5">
      <c r="P523" s="792"/>
      <c r="Q523" s="792"/>
      <c r="R523" s="792"/>
      <c r="S523" s="792"/>
      <c r="T523" s="792"/>
      <c r="U523" s="792"/>
      <c r="V523" s="792"/>
      <c r="W523" s="792"/>
      <c r="X523" s="792"/>
    </row>
    <row r="524" spans="16:24" s="793" customFormat="1" ht="16.5">
      <c r="P524" s="792"/>
      <c r="Q524" s="792"/>
      <c r="R524" s="792"/>
      <c r="S524" s="792"/>
      <c r="T524" s="792"/>
      <c r="U524" s="792"/>
      <c r="V524" s="792"/>
      <c r="W524" s="792"/>
      <c r="X524" s="792"/>
    </row>
    <row r="525" spans="16:24" s="793" customFormat="1" ht="16.5">
      <c r="P525" s="792"/>
      <c r="Q525" s="792"/>
      <c r="R525" s="792"/>
      <c r="S525" s="792"/>
      <c r="T525" s="792"/>
      <c r="U525" s="792"/>
      <c r="V525" s="792"/>
      <c r="W525" s="792"/>
      <c r="X525" s="792"/>
    </row>
    <row r="526" spans="16:24" s="793" customFormat="1" ht="16.5">
      <c r="P526" s="792"/>
      <c r="Q526" s="792"/>
      <c r="R526" s="792"/>
      <c r="S526" s="792"/>
      <c r="T526" s="792"/>
      <c r="U526" s="792"/>
      <c r="V526" s="792"/>
      <c r="W526" s="792"/>
      <c r="X526" s="792"/>
    </row>
    <row r="527" spans="16:24" s="793" customFormat="1" ht="16.5">
      <c r="P527" s="792"/>
      <c r="Q527" s="792"/>
      <c r="R527" s="792"/>
      <c r="S527" s="792"/>
      <c r="T527" s="792"/>
      <c r="U527" s="792"/>
      <c r="V527" s="792"/>
      <c r="W527" s="792"/>
      <c r="X527" s="792"/>
    </row>
    <row r="528" spans="16:24" s="793" customFormat="1" ht="16.5">
      <c r="P528" s="792"/>
      <c r="Q528" s="792"/>
      <c r="R528" s="792"/>
      <c r="S528" s="792"/>
      <c r="T528" s="792"/>
      <c r="U528" s="792"/>
      <c r="V528" s="792"/>
      <c r="W528" s="792"/>
      <c r="X528" s="792"/>
    </row>
    <row r="529" spans="16:24" s="793" customFormat="1" ht="16.5">
      <c r="P529" s="792"/>
      <c r="Q529" s="792"/>
      <c r="R529" s="792"/>
      <c r="S529" s="792"/>
      <c r="T529" s="792"/>
      <c r="U529" s="792"/>
      <c r="V529" s="792"/>
      <c r="W529" s="792"/>
      <c r="X529" s="792"/>
    </row>
    <row r="530" spans="16:24" s="793" customFormat="1" ht="16.5">
      <c r="P530" s="792"/>
      <c r="Q530" s="792"/>
      <c r="R530" s="792"/>
      <c r="S530" s="792"/>
      <c r="T530" s="792"/>
      <c r="U530" s="792"/>
      <c r="V530" s="792"/>
      <c r="W530" s="792"/>
      <c r="X530" s="792"/>
    </row>
    <row r="531" spans="16:24" s="793" customFormat="1" ht="16.5">
      <c r="P531" s="792"/>
      <c r="Q531" s="792"/>
      <c r="R531" s="792"/>
      <c r="S531" s="792"/>
      <c r="T531" s="792"/>
      <c r="U531" s="792"/>
      <c r="V531" s="792"/>
      <c r="W531" s="792"/>
      <c r="X531" s="792"/>
    </row>
    <row r="532" spans="16:24" s="793" customFormat="1" ht="16.5">
      <c r="P532" s="792"/>
      <c r="Q532" s="792"/>
      <c r="R532" s="792"/>
      <c r="S532" s="792"/>
      <c r="T532" s="792"/>
      <c r="U532" s="792"/>
      <c r="V532" s="792"/>
      <c r="W532" s="792"/>
      <c r="X532" s="792"/>
    </row>
    <row r="533" spans="16:24" s="793" customFormat="1" ht="16.5">
      <c r="P533" s="792"/>
      <c r="Q533" s="792"/>
      <c r="R533" s="792"/>
      <c r="S533" s="792"/>
      <c r="T533" s="792"/>
      <c r="U533" s="792"/>
      <c r="V533" s="792"/>
      <c r="W533" s="792"/>
      <c r="X533" s="792"/>
    </row>
    <row r="534" spans="16:24" s="793" customFormat="1" ht="16.5">
      <c r="P534" s="792"/>
      <c r="Q534" s="792"/>
      <c r="R534" s="792"/>
      <c r="S534" s="792"/>
      <c r="T534" s="792"/>
      <c r="U534" s="792"/>
      <c r="V534" s="792"/>
      <c r="W534" s="792"/>
      <c r="X534" s="792"/>
    </row>
    <row r="535" spans="16:24" s="793" customFormat="1" ht="16.5">
      <c r="P535" s="792"/>
      <c r="Q535" s="792"/>
      <c r="R535" s="792"/>
      <c r="S535" s="792"/>
      <c r="T535" s="792"/>
      <c r="U535" s="792"/>
      <c r="V535" s="792"/>
      <c r="W535" s="792"/>
      <c r="X535" s="792"/>
    </row>
    <row r="536" spans="16:24" s="793" customFormat="1" ht="16.5">
      <c r="P536" s="792"/>
      <c r="Q536" s="792"/>
      <c r="R536" s="792"/>
      <c r="S536" s="792"/>
      <c r="T536" s="792"/>
      <c r="U536" s="792"/>
      <c r="V536" s="792"/>
      <c r="W536" s="792"/>
      <c r="X536" s="792"/>
    </row>
    <row r="537" spans="16:24" s="793" customFormat="1" ht="16.5">
      <c r="P537" s="792"/>
      <c r="Q537" s="792"/>
      <c r="R537" s="792"/>
      <c r="S537" s="792"/>
      <c r="T537" s="792"/>
      <c r="U537" s="792"/>
      <c r="V537" s="792"/>
      <c r="W537" s="792"/>
      <c r="X537" s="792"/>
    </row>
    <row r="538" spans="16:24" s="793" customFormat="1" ht="16.5">
      <c r="P538" s="792"/>
      <c r="Q538" s="792"/>
      <c r="R538" s="792"/>
      <c r="S538" s="792"/>
      <c r="T538" s="792"/>
      <c r="U538" s="792"/>
      <c r="V538" s="792"/>
      <c r="W538" s="792"/>
      <c r="X538" s="792"/>
    </row>
    <row r="539" spans="16:24" s="793" customFormat="1" ht="16.5">
      <c r="P539" s="792"/>
      <c r="Q539" s="792"/>
      <c r="R539" s="792"/>
      <c r="S539" s="792"/>
      <c r="T539" s="792"/>
      <c r="U539" s="792"/>
      <c r="V539" s="792"/>
      <c r="W539" s="792"/>
      <c r="X539" s="792"/>
    </row>
    <row r="540" spans="16:24" s="793" customFormat="1" ht="16.5">
      <c r="P540" s="792"/>
      <c r="Q540" s="792"/>
      <c r="R540" s="792"/>
      <c r="S540" s="792"/>
      <c r="T540" s="792"/>
      <c r="U540" s="792"/>
      <c r="V540" s="792"/>
      <c r="W540" s="792"/>
      <c r="X540" s="792"/>
    </row>
    <row r="541" spans="16:24" s="793" customFormat="1" ht="16.5">
      <c r="P541" s="792"/>
      <c r="Q541" s="792"/>
      <c r="R541" s="792"/>
      <c r="S541" s="792"/>
      <c r="T541" s="792"/>
      <c r="U541" s="792"/>
      <c r="V541" s="792"/>
      <c r="W541" s="792"/>
      <c r="X541" s="792"/>
    </row>
    <row r="542" spans="16:24" s="793" customFormat="1" ht="16.5">
      <c r="P542" s="792"/>
      <c r="Q542" s="792"/>
      <c r="R542" s="792"/>
      <c r="S542" s="792"/>
      <c r="T542" s="792"/>
      <c r="U542" s="792"/>
      <c r="V542" s="792"/>
      <c r="W542" s="792"/>
      <c r="X542" s="792"/>
    </row>
    <row r="543" spans="16:24" s="793" customFormat="1" ht="16.5">
      <c r="P543" s="792"/>
      <c r="Q543" s="792"/>
      <c r="R543" s="792"/>
      <c r="S543" s="792"/>
      <c r="T543" s="792"/>
      <c r="U543" s="792"/>
      <c r="V543" s="792"/>
      <c r="W543" s="792"/>
      <c r="X543" s="792"/>
    </row>
    <row r="544" spans="16:24" s="793" customFormat="1" ht="16.5">
      <c r="P544" s="792"/>
      <c r="Q544" s="792"/>
      <c r="R544" s="792"/>
      <c r="S544" s="792"/>
      <c r="T544" s="792"/>
      <c r="U544" s="792"/>
      <c r="V544" s="792"/>
      <c r="W544" s="792"/>
      <c r="X544" s="792"/>
    </row>
    <row r="545" spans="16:24" s="793" customFormat="1" ht="16.5">
      <c r="P545" s="792"/>
      <c r="Q545" s="792"/>
      <c r="R545" s="792"/>
      <c r="S545" s="792"/>
      <c r="T545" s="792"/>
      <c r="U545" s="792"/>
      <c r="V545" s="792"/>
      <c r="W545" s="792"/>
      <c r="X545" s="792"/>
    </row>
    <row r="546" spans="16:24" s="793" customFormat="1" ht="16.5">
      <c r="P546" s="792"/>
      <c r="Q546" s="792"/>
      <c r="R546" s="792"/>
      <c r="S546" s="792"/>
      <c r="T546" s="792"/>
      <c r="U546" s="792"/>
      <c r="V546" s="792"/>
      <c r="W546" s="792"/>
      <c r="X546" s="792"/>
    </row>
    <row r="547" spans="16:24" s="793" customFormat="1" ht="16.5">
      <c r="P547" s="792"/>
      <c r="Q547" s="792"/>
      <c r="R547" s="792"/>
      <c r="S547" s="792"/>
      <c r="T547" s="792"/>
      <c r="U547" s="792"/>
      <c r="V547" s="792"/>
      <c r="W547" s="792"/>
      <c r="X547" s="792"/>
    </row>
    <row r="548" spans="16:24" s="793" customFormat="1" ht="16.5">
      <c r="P548" s="792"/>
      <c r="Q548" s="792"/>
      <c r="R548" s="792"/>
      <c r="S548" s="792"/>
      <c r="T548" s="792"/>
      <c r="U548" s="792"/>
      <c r="V548" s="792"/>
      <c r="W548" s="792"/>
      <c r="X548" s="792"/>
    </row>
    <row r="549" spans="16:24" s="793" customFormat="1" ht="16.5">
      <c r="P549" s="792"/>
      <c r="Q549" s="792"/>
      <c r="R549" s="792"/>
      <c r="S549" s="792"/>
      <c r="T549" s="792"/>
      <c r="U549" s="792"/>
      <c r="V549" s="792"/>
      <c r="W549" s="792"/>
      <c r="X549" s="792"/>
    </row>
    <row r="550" spans="16:24" s="793" customFormat="1" ht="16.5">
      <c r="P550" s="792"/>
      <c r="Q550" s="792"/>
      <c r="R550" s="792"/>
      <c r="S550" s="792"/>
      <c r="T550" s="792"/>
      <c r="U550" s="792"/>
      <c r="V550" s="792"/>
      <c r="W550" s="792"/>
      <c r="X550" s="792"/>
    </row>
    <row r="551" spans="16:24" s="793" customFormat="1" ht="16.5">
      <c r="P551" s="792"/>
      <c r="Q551" s="792"/>
      <c r="R551" s="792"/>
      <c r="S551" s="792"/>
      <c r="T551" s="792"/>
      <c r="U551" s="792"/>
      <c r="V551" s="792"/>
      <c r="W551" s="792"/>
      <c r="X551" s="792"/>
    </row>
    <row r="552" spans="16:24" s="793" customFormat="1" ht="16.5">
      <c r="P552" s="792"/>
      <c r="Q552" s="792"/>
      <c r="R552" s="792"/>
      <c r="S552" s="792"/>
      <c r="T552" s="792"/>
      <c r="U552" s="792"/>
      <c r="V552" s="792"/>
      <c r="W552" s="792"/>
      <c r="X552" s="792"/>
    </row>
    <row r="553" spans="16:24" s="793" customFormat="1" ht="16.5">
      <c r="P553" s="792"/>
      <c r="Q553" s="792"/>
      <c r="R553" s="792"/>
      <c r="S553" s="792"/>
      <c r="T553" s="792"/>
      <c r="U553" s="792"/>
      <c r="V553" s="792"/>
      <c r="W553" s="792"/>
      <c r="X553" s="792"/>
    </row>
    <row r="554" spans="16:24" s="793" customFormat="1" ht="16.5">
      <c r="P554" s="792"/>
      <c r="Q554" s="792"/>
      <c r="R554" s="792"/>
      <c r="S554" s="792"/>
      <c r="T554" s="792"/>
      <c r="U554" s="792"/>
      <c r="V554" s="792"/>
      <c r="W554" s="792"/>
      <c r="X554" s="792"/>
    </row>
    <row r="555" spans="16:24" s="793" customFormat="1" ht="16.5">
      <c r="P555" s="792"/>
      <c r="Q555" s="792"/>
      <c r="R555" s="792"/>
      <c r="S555" s="792"/>
      <c r="T555" s="792"/>
      <c r="U555" s="792"/>
      <c r="V555" s="792"/>
      <c r="W555" s="792"/>
      <c r="X555" s="792"/>
    </row>
    <row r="556" spans="16:24" s="793" customFormat="1" ht="16.5">
      <c r="P556" s="792"/>
      <c r="Q556" s="792"/>
      <c r="R556" s="792"/>
      <c r="S556" s="792"/>
      <c r="T556" s="792"/>
      <c r="U556" s="792"/>
      <c r="V556" s="792"/>
      <c r="W556" s="792"/>
      <c r="X556" s="792"/>
    </row>
    <row r="557" spans="16:24" s="793" customFormat="1" ht="16.5">
      <c r="P557" s="792"/>
      <c r="Q557" s="792"/>
      <c r="R557" s="792"/>
      <c r="S557" s="792"/>
      <c r="T557" s="792"/>
      <c r="U557" s="792"/>
      <c r="V557" s="792"/>
      <c r="W557" s="792"/>
      <c r="X557" s="792"/>
    </row>
    <row r="558" spans="16:24" s="793" customFormat="1" ht="16.5">
      <c r="P558" s="792"/>
      <c r="Q558" s="792"/>
      <c r="R558" s="792"/>
      <c r="S558" s="792"/>
      <c r="T558" s="792"/>
      <c r="U558" s="792"/>
      <c r="V558" s="792"/>
      <c r="W558" s="792"/>
      <c r="X558" s="792"/>
    </row>
    <row r="559" spans="16:24" s="793" customFormat="1" ht="16.5">
      <c r="P559" s="792"/>
      <c r="Q559" s="792"/>
      <c r="R559" s="792"/>
      <c r="S559" s="792"/>
      <c r="T559" s="792"/>
      <c r="U559" s="792"/>
      <c r="V559" s="792"/>
      <c r="W559" s="792"/>
      <c r="X559" s="792"/>
    </row>
    <row r="560" spans="16:24" s="793" customFormat="1" ht="16.5">
      <c r="P560" s="792"/>
      <c r="Q560" s="792"/>
      <c r="R560" s="792"/>
      <c r="S560" s="792"/>
      <c r="T560" s="792"/>
      <c r="U560" s="792"/>
      <c r="V560" s="792"/>
      <c r="W560" s="792"/>
      <c r="X560" s="792"/>
    </row>
    <row r="561" spans="16:24" s="793" customFormat="1" ht="16.5">
      <c r="P561" s="792"/>
      <c r="Q561" s="792"/>
      <c r="R561" s="792"/>
      <c r="S561" s="792"/>
      <c r="T561" s="792"/>
      <c r="U561" s="792"/>
      <c r="V561" s="792"/>
      <c r="W561" s="792"/>
      <c r="X561" s="792"/>
    </row>
    <row r="562" spans="16:24" s="793" customFormat="1" ht="16.5">
      <c r="P562" s="792"/>
      <c r="Q562" s="792"/>
      <c r="R562" s="792"/>
      <c r="S562" s="792"/>
      <c r="T562" s="792"/>
      <c r="U562" s="792"/>
      <c r="V562" s="792"/>
      <c r="W562" s="792"/>
      <c r="X562" s="792"/>
    </row>
    <row r="563" spans="16:24" s="793" customFormat="1" ht="16.5">
      <c r="P563" s="792"/>
      <c r="Q563" s="792"/>
      <c r="R563" s="792"/>
      <c r="S563" s="792"/>
      <c r="T563" s="792"/>
      <c r="U563" s="792"/>
      <c r="V563" s="792"/>
      <c r="W563" s="792"/>
      <c r="X563" s="792"/>
    </row>
    <row r="564" spans="16:24" s="793" customFormat="1" ht="16.5">
      <c r="P564" s="792"/>
      <c r="Q564" s="792"/>
      <c r="R564" s="792"/>
      <c r="S564" s="792"/>
      <c r="T564" s="792"/>
      <c r="U564" s="792"/>
      <c r="V564" s="792"/>
      <c r="W564" s="792"/>
      <c r="X564" s="792"/>
    </row>
    <row r="565" spans="16:24" s="793" customFormat="1" ht="16.5">
      <c r="P565" s="792"/>
      <c r="Q565" s="792"/>
      <c r="R565" s="792"/>
      <c r="S565" s="792"/>
      <c r="T565" s="792"/>
      <c r="U565" s="792"/>
      <c r="V565" s="792"/>
      <c r="W565" s="792"/>
      <c r="X565" s="792"/>
    </row>
    <row r="566" spans="16:24" s="793" customFormat="1" ht="16.5">
      <c r="P566" s="792"/>
      <c r="Q566" s="792"/>
      <c r="R566" s="792"/>
      <c r="S566" s="792"/>
      <c r="T566" s="792"/>
      <c r="U566" s="792"/>
      <c r="V566" s="792"/>
      <c r="W566" s="792"/>
      <c r="X566" s="792"/>
    </row>
    <row r="567" spans="16:24" s="793" customFormat="1" ht="16.5">
      <c r="P567" s="792"/>
      <c r="Q567" s="792"/>
      <c r="R567" s="792"/>
      <c r="S567" s="792"/>
      <c r="T567" s="792"/>
      <c r="U567" s="792"/>
      <c r="V567" s="792"/>
      <c r="W567" s="792"/>
      <c r="X567" s="792"/>
    </row>
    <row r="568" spans="16:24" s="793" customFormat="1" ht="16.5">
      <c r="P568" s="792"/>
      <c r="Q568" s="792"/>
      <c r="R568" s="792"/>
      <c r="S568" s="792"/>
      <c r="T568" s="792"/>
      <c r="U568" s="792"/>
      <c r="V568" s="792"/>
      <c r="W568" s="792"/>
      <c r="X568" s="792"/>
    </row>
    <row r="569" spans="16:24" s="793" customFormat="1" ht="16.5">
      <c r="P569" s="792"/>
      <c r="Q569" s="792"/>
      <c r="R569" s="792"/>
      <c r="S569" s="792"/>
      <c r="T569" s="792"/>
      <c r="U569" s="792"/>
      <c r="V569" s="792"/>
      <c r="W569" s="792"/>
      <c r="X569" s="792"/>
    </row>
    <row r="570" spans="16:24" s="793" customFormat="1" ht="16.5">
      <c r="P570" s="792"/>
      <c r="Q570" s="792"/>
      <c r="R570" s="792"/>
      <c r="S570" s="792"/>
      <c r="T570" s="792"/>
      <c r="U570" s="792"/>
      <c r="V570" s="792"/>
      <c r="W570" s="792"/>
      <c r="X570" s="792"/>
    </row>
    <row r="571" spans="16:24" s="793" customFormat="1" ht="16.5">
      <c r="P571" s="792"/>
      <c r="Q571" s="792"/>
      <c r="R571" s="792"/>
      <c r="S571" s="792"/>
      <c r="T571" s="792"/>
      <c r="U571" s="792"/>
      <c r="V571" s="792"/>
      <c r="W571" s="792"/>
      <c r="X571" s="792"/>
    </row>
    <row r="572" spans="16:24" s="793" customFormat="1" ht="16.5">
      <c r="P572" s="792"/>
      <c r="Q572" s="792"/>
      <c r="R572" s="792"/>
      <c r="S572" s="792"/>
      <c r="T572" s="792"/>
      <c r="U572" s="792"/>
      <c r="V572" s="792"/>
      <c r="W572" s="792"/>
      <c r="X572" s="792"/>
    </row>
    <row r="573" spans="16:24" s="793" customFormat="1" ht="16.5">
      <c r="P573" s="792"/>
      <c r="Q573" s="792"/>
      <c r="R573" s="792"/>
      <c r="S573" s="792"/>
      <c r="T573" s="792"/>
      <c r="U573" s="792"/>
      <c r="V573" s="792"/>
      <c r="W573" s="792"/>
      <c r="X573" s="792"/>
    </row>
    <row r="574" spans="16:24" s="793" customFormat="1" ht="16.5">
      <c r="P574" s="792"/>
      <c r="Q574" s="792"/>
      <c r="R574" s="792"/>
      <c r="S574" s="792"/>
      <c r="T574" s="792"/>
      <c r="U574" s="792"/>
      <c r="V574" s="792"/>
      <c r="W574" s="792"/>
      <c r="X574" s="792"/>
    </row>
    <row r="575" spans="16:24" s="793" customFormat="1" ht="16.5">
      <c r="P575" s="792"/>
      <c r="Q575" s="792"/>
      <c r="R575" s="792"/>
      <c r="S575" s="792"/>
      <c r="T575" s="792"/>
      <c r="U575" s="792"/>
      <c r="V575" s="792"/>
      <c r="W575" s="792"/>
      <c r="X575" s="792"/>
    </row>
    <row r="576" spans="16:24" s="793" customFormat="1" ht="16.5">
      <c r="P576" s="792"/>
      <c r="Q576" s="792"/>
      <c r="R576" s="792"/>
      <c r="S576" s="792"/>
      <c r="T576" s="792"/>
      <c r="U576" s="792"/>
      <c r="V576" s="792"/>
      <c r="W576" s="792"/>
      <c r="X576" s="792"/>
    </row>
    <row r="577" spans="16:24" s="793" customFormat="1" ht="16.5">
      <c r="P577" s="792"/>
      <c r="Q577" s="792"/>
      <c r="R577" s="792"/>
      <c r="S577" s="792"/>
      <c r="T577" s="792"/>
      <c r="U577" s="792"/>
      <c r="V577" s="792"/>
      <c r="W577" s="792"/>
      <c r="X577" s="792"/>
    </row>
    <row r="578" spans="16:24" s="793" customFormat="1" ht="16.5">
      <c r="P578" s="792"/>
      <c r="Q578" s="792"/>
      <c r="R578" s="792"/>
      <c r="S578" s="792"/>
      <c r="T578" s="792"/>
      <c r="U578" s="792"/>
      <c r="V578" s="792"/>
      <c r="W578" s="792"/>
      <c r="X578" s="792"/>
    </row>
    <row r="579" spans="16:24" s="793" customFormat="1" ht="16.5">
      <c r="P579" s="792"/>
      <c r="Q579" s="792"/>
      <c r="R579" s="792"/>
      <c r="S579" s="792"/>
      <c r="T579" s="792"/>
      <c r="U579" s="792"/>
      <c r="V579" s="792"/>
      <c r="W579" s="792"/>
      <c r="X579" s="792"/>
    </row>
    <row r="580" spans="16:24" s="793" customFormat="1" ht="16.5">
      <c r="P580" s="792"/>
      <c r="Q580" s="792"/>
      <c r="R580" s="792"/>
      <c r="S580" s="792"/>
      <c r="T580" s="792"/>
      <c r="U580" s="792"/>
      <c r="V580" s="792"/>
      <c r="W580" s="792"/>
      <c r="X580" s="792"/>
    </row>
    <row r="581" spans="16:24" s="793" customFormat="1" ht="16.5">
      <c r="P581" s="792"/>
      <c r="Q581" s="792"/>
      <c r="R581" s="792"/>
      <c r="S581" s="792"/>
      <c r="T581" s="792"/>
      <c r="U581" s="792"/>
      <c r="V581" s="792"/>
      <c r="W581" s="792"/>
      <c r="X581" s="792"/>
    </row>
    <row r="582" spans="16:24" s="793" customFormat="1" ht="16.5">
      <c r="P582" s="792"/>
      <c r="Q582" s="792"/>
      <c r="R582" s="792"/>
      <c r="S582" s="792"/>
      <c r="T582" s="792"/>
      <c r="U582" s="792"/>
      <c r="V582" s="792"/>
      <c r="W582" s="792"/>
      <c r="X582" s="792"/>
    </row>
    <row r="583" spans="16:24" s="793" customFormat="1" ht="16.5">
      <c r="P583" s="792"/>
      <c r="Q583" s="792"/>
      <c r="R583" s="792"/>
      <c r="S583" s="792"/>
      <c r="T583" s="792"/>
      <c r="U583" s="792"/>
      <c r="V583" s="792"/>
      <c r="W583" s="792"/>
      <c r="X583" s="792"/>
    </row>
    <row r="584" spans="16:24" s="793" customFormat="1" ht="16.5">
      <c r="P584" s="792"/>
      <c r="Q584" s="792"/>
      <c r="R584" s="792"/>
      <c r="S584" s="792"/>
      <c r="T584" s="792"/>
      <c r="U584" s="792"/>
      <c r="V584" s="792"/>
      <c r="W584" s="792"/>
      <c r="X584" s="792"/>
    </row>
    <row r="585" spans="16:24" s="793" customFormat="1" ht="16.5">
      <c r="P585" s="792"/>
      <c r="Q585" s="792"/>
      <c r="R585" s="792"/>
      <c r="S585" s="792"/>
      <c r="T585" s="792"/>
      <c r="U585" s="792"/>
      <c r="V585" s="792"/>
      <c r="W585" s="792"/>
      <c r="X585" s="792"/>
    </row>
    <row r="586" spans="16:24" s="793" customFormat="1" ht="16.5">
      <c r="P586" s="792"/>
      <c r="Q586" s="792"/>
      <c r="R586" s="792"/>
      <c r="S586" s="792"/>
      <c r="T586" s="792"/>
      <c r="U586" s="792"/>
      <c r="V586" s="792"/>
      <c r="W586" s="792"/>
      <c r="X586" s="792"/>
    </row>
    <row r="587" spans="16:24" s="793" customFormat="1" ht="16.5">
      <c r="P587" s="792"/>
      <c r="Q587" s="792"/>
      <c r="R587" s="792"/>
      <c r="S587" s="792"/>
      <c r="T587" s="792"/>
      <c r="U587" s="792"/>
      <c r="V587" s="792"/>
      <c r="W587" s="792"/>
      <c r="X587" s="792"/>
    </row>
    <row r="588" spans="16:24" s="793" customFormat="1" ht="16.5">
      <c r="P588" s="792"/>
      <c r="Q588" s="792"/>
      <c r="R588" s="792"/>
      <c r="S588" s="792"/>
      <c r="T588" s="792"/>
      <c r="U588" s="792"/>
      <c r="V588" s="792"/>
      <c r="W588" s="792"/>
      <c r="X588" s="792"/>
    </row>
    <row r="589" spans="16:24" s="793" customFormat="1" ht="16.5">
      <c r="P589" s="792"/>
      <c r="Q589" s="792"/>
      <c r="R589" s="792"/>
      <c r="S589" s="792"/>
      <c r="T589" s="792"/>
      <c r="U589" s="792"/>
      <c r="V589" s="792"/>
      <c r="W589" s="792"/>
      <c r="X589" s="792"/>
    </row>
    <row r="590" spans="16:24" s="793" customFormat="1" ht="16.5">
      <c r="P590" s="792"/>
      <c r="Q590" s="792"/>
      <c r="R590" s="792"/>
      <c r="S590" s="792"/>
      <c r="T590" s="792"/>
      <c r="U590" s="792"/>
      <c r="V590" s="792"/>
      <c r="W590" s="792"/>
      <c r="X590" s="792"/>
    </row>
    <row r="591" spans="16:24" s="793" customFormat="1" ht="16.5">
      <c r="P591" s="792"/>
      <c r="Q591" s="792"/>
      <c r="R591" s="792"/>
      <c r="S591" s="792"/>
      <c r="T591" s="792"/>
      <c r="U591" s="792"/>
      <c r="V591" s="792"/>
      <c r="W591" s="792"/>
      <c r="X591" s="792"/>
    </row>
    <row r="592" spans="16:24" s="793" customFormat="1" ht="16.5">
      <c r="P592" s="792"/>
      <c r="Q592" s="792"/>
      <c r="R592" s="792"/>
      <c r="S592" s="792"/>
      <c r="T592" s="792"/>
      <c r="U592" s="792"/>
      <c r="V592" s="792"/>
      <c r="W592" s="792"/>
      <c r="X592" s="792"/>
    </row>
    <row r="593" spans="16:24" s="793" customFormat="1" ht="16.5">
      <c r="P593" s="792"/>
      <c r="Q593" s="792"/>
      <c r="R593" s="792"/>
      <c r="S593" s="792"/>
      <c r="T593" s="792"/>
      <c r="U593" s="792"/>
      <c r="V593" s="792"/>
      <c r="W593" s="792"/>
      <c r="X593" s="792"/>
    </row>
    <row r="594" spans="16:24" s="793" customFormat="1" ht="16.5">
      <c r="P594" s="792"/>
      <c r="Q594" s="792"/>
      <c r="R594" s="792"/>
      <c r="S594" s="792"/>
      <c r="T594" s="792"/>
      <c r="U594" s="792"/>
      <c r="V594" s="792"/>
      <c r="W594" s="792"/>
      <c r="X594" s="792"/>
    </row>
    <row r="595" spans="16:24" s="793" customFormat="1" ht="16.5">
      <c r="P595" s="792"/>
      <c r="Q595" s="792"/>
      <c r="R595" s="792"/>
      <c r="S595" s="792"/>
      <c r="T595" s="792"/>
      <c r="U595" s="792"/>
      <c r="V595" s="792"/>
      <c r="W595" s="792"/>
      <c r="X595" s="792"/>
    </row>
    <row r="596" spans="16:24" s="793" customFormat="1" ht="16.5">
      <c r="P596" s="792"/>
      <c r="Q596" s="792"/>
      <c r="R596" s="792"/>
      <c r="S596" s="792"/>
      <c r="T596" s="792"/>
      <c r="U596" s="792"/>
      <c r="V596" s="792"/>
      <c r="W596" s="792"/>
      <c r="X596" s="792"/>
    </row>
    <row r="597" spans="16:24" s="793" customFormat="1" ht="16.5">
      <c r="P597" s="792"/>
      <c r="Q597" s="792"/>
      <c r="R597" s="792"/>
      <c r="S597" s="792"/>
      <c r="T597" s="792"/>
      <c r="U597" s="792"/>
      <c r="V597" s="792"/>
      <c r="W597" s="792"/>
      <c r="X597" s="792"/>
    </row>
    <row r="598" spans="16:24" s="793" customFormat="1" ht="16.5">
      <c r="P598" s="792"/>
      <c r="Q598" s="792"/>
      <c r="R598" s="792"/>
      <c r="S598" s="792"/>
      <c r="T598" s="792"/>
      <c r="U598" s="792"/>
      <c r="V598" s="792"/>
      <c r="W598" s="792"/>
      <c r="X598" s="792"/>
    </row>
    <row r="599" spans="16:24" s="793" customFormat="1" ht="16.5">
      <c r="P599" s="792"/>
      <c r="Q599" s="792"/>
      <c r="R599" s="792"/>
      <c r="S599" s="792"/>
      <c r="T599" s="792"/>
      <c r="U599" s="792"/>
      <c r="V599" s="792"/>
      <c r="W599" s="792"/>
      <c r="X599" s="792"/>
    </row>
    <row r="600" spans="16:24" s="793" customFormat="1" ht="16.5">
      <c r="P600" s="792"/>
      <c r="Q600" s="792"/>
      <c r="R600" s="792"/>
      <c r="S600" s="792"/>
      <c r="T600" s="792"/>
      <c r="U600" s="792"/>
      <c r="V600" s="792"/>
      <c r="W600" s="792"/>
      <c r="X600" s="792"/>
    </row>
    <row r="601" spans="16:24" s="793" customFormat="1" ht="16.5">
      <c r="P601" s="792"/>
      <c r="Q601" s="792"/>
      <c r="R601" s="792"/>
      <c r="S601" s="792"/>
      <c r="T601" s="792"/>
      <c r="U601" s="792"/>
      <c r="V601" s="792"/>
      <c r="W601" s="792"/>
      <c r="X601" s="792"/>
    </row>
    <row r="602" spans="16:24" s="793" customFormat="1" ht="16.5">
      <c r="P602" s="792"/>
      <c r="Q602" s="792"/>
      <c r="R602" s="792"/>
      <c r="S602" s="792"/>
      <c r="T602" s="792"/>
      <c r="U602" s="792"/>
      <c r="V602" s="792"/>
      <c r="W602" s="792"/>
      <c r="X602" s="792"/>
    </row>
    <row r="603" spans="16:24" s="793" customFormat="1" ht="16.5">
      <c r="P603" s="792"/>
      <c r="Q603" s="792"/>
      <c r="R603" s="792"/>
      <c r="S603" s="792"/>
      <c r="T603" s="792"/>
      <c r="U603" s="792"/>
      <c r="V603" s="792"/>
      <c r="W603" s="792"/>
      <c r="X603" s="792"/>
    </row>
    <row r="604" spans="16:24" s="793" customFormat="1" ht="16.5">
      <c r="P604" s="792"/>
      <c r="Q604" s="792"/>
      <c r="R604" s="792"/>
      <c r="S604" s="792"/>
      <c r="T604" s="792"/>
      <c r="U604" s="792"/>
      <c r="V604" s="792"/>
      <c r="W604" s="792"/>
      <c r="X604" s="792"/>
    </row>
    <row r="605" spans="16:24" s="793" customFormat="1" ht="16.5">
      <c r="P605" s="792"/>
      <c r="Q605" s="792"/>
      <c r="R605" s="792"/>
      <c r="S605" s="792"/>
      <c r="T605" s="792"/>
      <c r="U605" s="792"/>
      <c r="V605" s="792"/>
      <c r="W605" s="792"/>
      <c r="X605" s="792"/>
    </row>
    <row r="606" spans="16:24" s="793" customFormat="1" ht="16.5">
      <c r="P606" s="792"/>
      <c r="Q606" s="792"/>
      <c r="R606" s="792"/>
      <c r="S606" s="792"/>
      <c r="T606" s="792"/>
      <c r="U606" s="792"/>
      <c r="V606" s="792"/>
      <c r="W606" s="792"/>
      <c r="X606" s="792"/>
    </row>
    <row r="607" spans="16:24" s="793" customFormat="1" ht="16.5">
      <c r="P607" s="792"/>
      <c r="Q607" s="792"/>
      <c r="R607" s="792"/>
      <c r="S607" s="792"/>
      <c r="T607" s="792"/>
      <c r="U607" s="792"/>
      <c r="V607" s="792"/>
      <c r="W607" s="792"/>
      <c r="X607" s="792"/>
    </row>
    <row r="608" spans="16:24" s="793" customFormat="1" ht="16.5">
      <c r="P608" s="792"/>
      <c r="Q608" s="792"/>
      <c r="R608" s="792"/>
      <c r="S608" s="792"/>
      <c r="T608" s="792"/>
      <c r="U608" s="792"/>
      <c r="V608" s="792"/>
      <c r="W608" s="792"/>
      <c r="X608" s="792"/>
    </row>
    <row r="609" spans="16:24" s="793" customFormat="1" ht="16.5">
      <c r="P609" s="792"/>
      <c r="Q609" s="792"/>
      <c r="R609" s="792"/>
      <c r="S609" s="792"/>
      <c r="T609" s="792"/>
      <c r="U609" s="792"/>
      <c r="V609" s="792"/>
      <c r="W609" s="792"/>
      <c r="X609" s="792"/>
    </row>
    <row r="610" spans="16:24" s="793" customFormat="1" ht="16.5">
      <c r="P610" s="792"/>
      <c r="Q610" s="792"/>
      <c r="R610" s="792"/>
      <c r="S610" s="792"/>
      <c r="T610" s="792"/>
      <c r="U610" s="792"/>
      <c r="V610" s="792"/>
      <c r="W610" s="792"/>
      <c r="X610" s="792"/>
    </row>
    <row r="611" spans="16:24" s="793" customFormat="1" ht="16.5">
      <c r="P611" s="792"/>
      <c r="Q611" s="792"/>
      <c r="R611" s="792"/>
      <c r="S611" s="792"/>
      <c r="T611" s="792"/>
      <c r="U611" s="792"/>
      <c r="V611" s="792"/>
      <c r="W611" s="792"/>
      <c r="X611" s="792"/>
    </row>
    <row r="612" spans="16:24" s="793" customFormat="1" ht="16.5">
      <c r="P612" s="792"/>
      <c r="Q612" s="792"/>
      <c r="R612" s="792"/>
      <c r="S612" s="792"/>
      <c r="T612" s="792"/>
      <c r="U612" s="792"/>
      <c r="V612" s="792"/>
      <c r="W612" s="792"/>
      <c r="X612" s="792"/>
    </row>
    <row r="613" spans="16:24" s="793" customFormat="1" ht="16.5">
      <c r="P613" s="792"/>
      <c r="Q613" s="792"/>
      <c r="R613" s="792"/>
      <c r="S613" s="792"/>
      <c r="T613" s="792"/>
      <c r="U613" s="792"/>
      <c r="V613" s="792"/>
      <c r="W613" s="792"/>
      <c r="X613" s="792"/>
    </row>
    <row r="614" spans="16:24" s="793" customFormat="1" ht="16.5">
      <c r="P614" s="792"/>
      <c r="Q614" s="792"/>
      <c r="R614" s="792"/>
      <c r="S614" s="792"/>
      <c r="T614" s="792"/>
      <c r="U614" s="792"/>
      <c r="V614" s="792"/>
      <c r="W614" s="792"/>
      <c r="X614" s="792"/>
    </row>
    <row r="615" spans="16:24" s="793" customFormat="1" ht="16.5">
      <c r="P615" s="792"/>
      <c r="Q615" s="792"/>
      <c r="R615" s="792"/>
      <c r="S615" s="792"/>
      <c r="T615" s="792"/>
      <c r="U615" s="792"/>
      <c r="V615" s="792"/>
      <c r="W615" s="792"/>
      <c r="X615" s="792"/>
    </row>
    <row r="616" spans="16:24" s="793" customFormat="1" ht="16.5">
      <c r="P616" s="792"/>
      <c r="Q616" s="792"/>
      <c r="R616" s="792"/>
      <c r="S616" s="792"/>
      <c r="T616" s="792"/>
      <c r="U616" s="792"/>
      <c r="V616" s="792"/>
      <c r="W616" s="792"/>
      <c r="X616" s="792"/>
    </row>
    <row r="617" spans="16:24" s="793" customFormat="1" ht="16.5">
      <c r="P617" s="792"/>
      <c r="Q617" s="792"/>
      <c r="R617" s="792"/>
      <c r="S617" s="792"/>
      <c r="T617" s="792"/>
      <c r="U617" s="792"/>
      <c r="V617" s="792"/>
      <c r="W617" s="792"/>
      <c r="X617" s="792"/>
    </row>
    <row r="618" spans="16:24" s="793" customFormat="1" ht="16.5">
      <c r="P618" s="792"/>
      <c r="Q618" s="792"/>
      <c r="R618" s="792"/>
      <c r="S618" s="792"/>
      <c r="T618" s="792"/>
      <c r="U618" s="792"/>
      <c r="V618" s="792"/>
      <c r="W618" s="792"/>
      <c r="X618" s="792"/>
    </row>
    <row r="619" spans="16:24" s="793" customFormat="1" ht="16.5">
      <c r="P619" s="792"/>
      <c r="Q619" s="792"/>
      <c r="R619" s="792"/>
      <c r="S619" s="792"/>
      <c r="T619" s="792"/>
      <c r="U619" s="792"/>
      <c r="V619" s="792"/>
      <c r="W619" s="792"/>
      <c r="X619" s="792"/>
    </row>
    <row r="620" spans="16:24" s="793" customFormat="1" ht="16.5">
      <c r="P620" s="792"/>
      <c r="Q620" s="792"/>
      <c r="R620" s="792"/>
      <c r="S620" s="792"/>
      <c r="T620" s="792"/>
      <c r="U620" s="792"/>
      <c r="V620" s="792"/>
      <c r="W620" s="792"/>
      <c r="X620" s="792"/>
    </row>
    <row r="621" spans="16:24" s="793" customFormat="1" ht="16.5">
      <c r="P621" s="792"/>
      <c r="Q621" s="792"/>
      <c r="R621" s="792"/>
      <c r="S621" s="792"/>
      <c r="T621" s="792"/>
      <c r="U621" s="792"/>
      <c r="V621" s="792"/>
      <c r="W621" s="792"/>
      <c r="X621" s="792"/>
    </row>
    <row r="622" spans="16:24" s="793" customFormat="1" ht="16.5">
      <c r="P622" s="792"/>
      <c r="Q622" s="792"/>
      <c r="R622" s="792"/>
      <c r="S622" s="792"/>
      <c r="T622" s="792"/>
      <c r="U622" s="792"/>
      <c r="V622" s="792"/>
      <c r="W622" s="792"/>
      <c r="X622" s="792"/>
    </row>
    <row r="623" spans="16:24" s="793" customFormat="1" ht="16.5">
      <c r="P623" s="792"/>
      <c r="Q623" s="792"/>
      <c r="R623" s="792"/>
      <c r="S623" s="792"/>
      <c r="T623" s="792"/>
      <c r="U623" s="792"/>
      <c r="V623" s="792"/>
      <c r="W623" s="792"/>
      <c r="X623" s="792"/>
    </row>
    <row r="624" spans="16:24" s="793" customFormat="1" ht="16.5">
      <c r="P624" s="792"/>
      <c r="Q624" s="792"/>
      <c r="R624" s="792"/>
      <c r="S624" s="792"/>
      <c r="T624" s="792"/>
      <c r="U624" s="792"/>
      <c r="V624" s="792"/>
      <c r="W624" s="792"/>
      <c r="X624" s="792"/>
    </row>
    <row r="625" spans="16:24" s="793" customFormat="1" ht="16.5">
      <c r="P625" s="792"/>
      <c r="Q625" s="792"/>
      <c r="R625" s="792"/>
      <c r="S625" s="792"/>
      <c r="T625" s="792"/>
      <c r="U625" s="792"/>
      <c r="V625" s="792"/>
      <c r="W625" s="792"/>
      <c r="X625" s="792"/>
    </row>
    <row r="626" spans="16:24" s="793" customFormat="1" ht="16.5">
      <c r="P626" s="792"/>
      <c r="Q626" s="792"/>
      <c r="R626" s="792"/>
      <c r="S626" s="792"/>
      <c r="T626" s="792"/>
      <c r="U626" s="792"/>
      <c r="V626" s="792"/>
      <c r="W626" s="792"/>
      <c r="X626" s="792"/>
    </row>
    <row r="627" spans="16:24" s="793" customFormat="1" ht="16.5">
      <c r="P627" s="792"/>
      <c r="Q627" s="792"/>
      <c r="R627" s="792"/>
      <c r="S627" s="792"/>
      <c r="T627" s="792"/>
      <c r="U627" s="792"/>
      <c r="V627" s="792"/>
      <c r="W627" s="792"/>
      <c r="X627" s="792"/>
    </row>
    <row r="628" spans="16:24" s="793" customFormat="1" ht="16.5">
      <c r="P628" s="792"/>
      <c r="Q628" s="792"/>
      <c r="R628" s="792"/>
      <c r="S628" s="792"/>
      <c r="T628" s="792"/>
      <c r="U628" s="792"/>
      <c r="V628" s="792"/>
      <c r="W628" s="792"/>
      <c r="X628" s="792"/>
    </row>
    <row r="629" spans="16:24" s="793" customFormat="1" ht="16.5">
      <c r="P629" s="792"/>
      <c r="Q629" s="792"/>
      <c r="R629" s="792"/>
      <c r="S629" s="792"/>
      <c r="T629" s="792"/>
      <c r="U629" s="792"/>
      <c r="V629" s="792"/>
      <c r="W629" s="792"/>
      <c r="X629" s="792"/>
    </row>
    <row r="630" spans="16:24" s="793" customFormat="1" ht="16.5">
      <c r="P630" s="792"/>
      <c r="Q630" s="792"/>
      <c r="R630" s="792"/>
      <c r="S630" s="792"/>
      <c r="T630" s="792"/>
      <c r="U630" s="792"/>
      <c r="V630" s="792"/>
      <c r="W630" s="792"/>
      <c r="X630" s="792"/>
    </row>
    <row r="631" spans="16:24" s="793" customFormat="1" ht="16.5">
      <c r="P631" s="792"/>
      <c r="Q631" s="792"/>
      <c r="R631" s="792"/>
      <c r="S631" s="792"/>
      <c r="T631" s="792"/>
      <c r="U631" s="792"/>
      <c r="V631" s="792"/>
      <c r="W631" s="792"/>
      <c r="X631" s="792"/>
    </row>
    <row r="632" spans="16:24" s="793" customFormat="1" ht="16.5">
      <c r="P632" s="792"/>
      <c r="Q632" s="792"/>
      <c r="R632" s="792"/>
      <c r="S632" s="792"/>
      <c r="T632" s="792"/>
      <c r="U632" s="792"/>
      <c r="V632" s="792"/>
      <c r="W632" s="792"/>
      <c r="X632" s="792"/>
    </row>
    <row r="633" spans="16:24" s="793" customFormat="1" ht="16.5">
      <c r="P633" s="792"/>
      <c r="Q633" s="792"/>
      <c r="R633" s="792"/>
      <c r="S633" s="792"/>
      <c r="T633" s="792"/>
      <c r="U633" s="792"/>
      <c r="V633" s="792"/>
      <c r="W633" s="792"/>
      <c r="X633" s="792"/>
    </row>
    <row r="634" spans="16:24" s="793" customFormat="1" ht="16.5">
      <c r="P634" s="792"/>
      <c r="Q634" s="792"/>
      <c r="R634" s="792"/>
      <c r="S634" s="792"/>
      <c r="T634" s="792"/>
      <c r="U634" s="792"/>
      <c r="V634" s="792"/>
      <c r="W634" s="792"/>
      <c r="X634" s="792"/>
    </row>
    <row r="635" spans="16:24" s="793" customFormat="1" ht="16.5">
      <c r="P635" s="792"/>
      <c r="Q635" s="792"/>
      <c r="R635" s="792"/>
      <c r="S635" s="792"/>
      <c r="T635" s="792"/>
      <c r="U635" s="792"/>
      <c r="V635" s="792"/>
      <c r="W635" s="792"/>
      <c r="X635" s="792"/>
    </row>
    <row r="636" spans="16:24" s="793" customFormat="1" ht="16.5">
      <c r="P636" s="792"/>
      <c r="Q636" s="792"/>
      <c r="R636" s="792"/>
      <c r="S636" s="792"/>
      <c r="T636" s="792"/>
      <c r="U636" s="792"/>
      <c r="V636" s="792"/>
      <c r="W636" s="792"/>
      <c r="X636" s="792"/>
    </row>
    <row r="637" spans="16:24" s="793" customFormat="1" ht="16.5">
      <c r="P637" s="792"/>
      <c r="Q637" s="792"/>
      <c r="R637" s="792"/>
      <c r="S637" s="792"/>
      <c r="T637" s="792"/>
      <c r="U637" s="792"/>
      <c r="V637" s="792"/>
      <c r="W637" s="792"/>
      <c r="X637" s="792"/>
    </row>
    <row r="638" spans="16:24" s="793" customFormat="1" ht="16.5">
      <c r="P638" s="792"/>
      <c r="Q638" s="792"/>
      <c r="R638" s="792"/>
      <c r="S638" s="792"/>
      <c r="T638" s="792"/>
      <c r="U638" s="792"/>
      <c r="V638" s="792"/>
      <c r="W638" s="792"/>
      <c r="X638" s="792"/>
    </row>
    <row r="639" spans="16:24" s="793" customFormat="1" ht="16.5">
      <c r="P639" s="792"/>
      <c r="Q639" s="792"/>
      <c r="R639" s="792"/>
      <c r="S639" s="792"/>
      <c r="T639" s="792"/>
      <c r="U639" s="792"/>
      <c r="V639" s="792"/>
      <c r="W639" s="792"/>
      <c r="X639" s="792"/>
    </row>
    <row r="640" spans="16:24" s="793" customFormat="1" ht="16.5">
      <c r="P640" s="792"/>
      <c r="Q640" s="792"/>
      <c r="R640" s="792"/>
      <c r="S640" s="792"/>
      <c r="T640" s="792"/>
      <c r="U640" s="792"/>
      <c r="V640" s="792"/>
      <c r="W640" s="792"/>
      <c r="X640" s="792"/>
    </row>
    <row r="641" spans="16:24" s="793" customFormat="1" ht="16.5">
      <c r="P641" s="792"/>
      <c r="Q641" s="792"/>
      <c r="R641" s="792"/>
      <c r="S641" s="792"/>
      <c r="T641" s="792"/>
      <c r="U641" s="792"/>
      <c r="V641" s="792"/>
      <c r="W641" s="792"/>
      <c r="X641" s="792"/>
    </row>
    <row r="642" spans="16:24" s="793" customFormat="1" ht="16.5">
      <c r="P642" s="792"/>
      <c r="Q642" s="792"/>
      <c r="R642" s="792"/>
      <c r="S642" s="792"/>
      <c r="T642" s="792"/>
      <c r="U642" s="792"/>
      <c r="V642" s="792"/>
      <c r="W642" s="792"/>
      <c r="X642" s="792"/>
    </row>
    <row r="643" spans="16:24" s="793" customFormat="1" ht="16.5">
      <c r="P643" s="792"/>
      <c r="Q643" s="792"/>
      <c r="R643" s="792"/>
      <c r="S643" s="792"/>
      <c r="T643" s="792"/>
      <c r="U643" s="792"/>
      <c r="V643" s="792"/>
      <c r="W643" s="792"/>
      <c r="X643" s="792"/>
    </row>
    <row r="644" spans="16:24" s="793" customFormat="1" ht="16.5">
      <c r="P644" s="792"/>
      <c r="Q644" s="792"/>
      <c r="R644" s="792"/>
      <c r="S644" s="792"/>
      <c r="T644" s="792"/>
      <c r="U644" s="792"/>
      <c r="V644" s="792"/>
      <c r="W644" s="792"/>
      <c r="X644" s="792"/>
    </row>
    <row r="645" spans="16:24" s="793" customFormat="1" ht="16.5">
      <c r="P645" s="792"/>
      <c r="Q645" s="792"/>
      <c r="R645" s="792"/>
      <c r="S645" s="792"/>
      <c r="T645" s="792"/>
      <c r="U645" s="792"/>
      <c r="V645" s="792"/>
      <c r="W645" s="792"/>
      <c r="X645" s="792"/>
    </row>
    <row r="646" spans="16:24" s="793" customFormat="1" ht="16.5">
      <c r="P646" s="792"/>
      <c r="Q646" s="792"/>
      <c r="R646" s="792"/>
      <c r="S646" s="792"/>
      <c r="T646" s="792"/>
      <c r="U646" s="792"/>
      <c r="V646" s="792"/>
      <c r="W646" s="792"/>
      <c r="X646" s="792"/>
    </row>
    <row r="647" spans="16:24" s="793" customFormat="1" ht="16.5">
      <c r="P647" s="792"/>
      <c r="Q647" s="792"/>
      <c r="R647" s="792"/>
      <c r="S647" s="792"/>
      <c r="T647" s="792"/>
      <c r="U647" s="792"/>
      <c r="V647" s="792"/>
      <c r="W647" s="792"/>
      <c r="X647" s="792"/>
    </row>
    <row r="648" spans="16:24" s="793" customFormat="1" ht="16.5">
      <c r="P648" s="792"/>
      <c r="Q648" s="792"/>
      <c r="R648" s="792"/>
      <c r="S648" s="792"/>
      <c r="T648" s="792"/>
      <c r="U648" s="792"/>
      <c r="V648" s="792"/>
      <c r="W648" s="792"/>
      <c r="X648" s="792"/>
    </row>
    <row r="649" spans="16:24" s="793" customFormat="1" ht="16.5">
      <c r="P649" s="792"/>
      <c r="Q649" s="792"/>
      <c r="R649" s="792"/>
      <c r="S649" s="792"/>
      <c r="T649" s="792"/>
      <c r="U649" s="792"/>
      <c r="V649" s="792"/>
      <c r="W649" s="792"/>
      <c r="X649" s="792"/>
    </row>
    <row r="650" spans="16:24" s="793" customFormat="1" ht="16.5">
      <c r="P650" s="792"/>
      <c r="Q650" s="792"/>
      <c r="R650" s="792"/>
      <c r="S650" s="792"/>
      <c r="T650" s="792"/>
      <c r="U650" s="792"/>
      <c r="V650" s="792"/>
      <c r="W650" s="792"/>
      <c r="X650" s="792"/>
    </row>
    <row r="651" spans="16:24" s="793" customFormat="1" ht="16.5">
      <c r="P651" s="792"/>
      <c r="Q651" s="792"/>
      <c r="R651" s="792"/>
      <c r="S651" s="792"/>
      <c r="T651" s="792"/>
      <c r="U651" s="792"/>
      <c r="V651" s="792"/>
      <c r="W651" s="792"/>
      <c r="X651" s="792"/>
    </row>
    <row r="652" spans="16:24" s="793" customFormat="1" ht="16.5">
      <c r="P652" s="792"/>
      <c r="Q652" s="792"/>
      <c r="R652" s="792"/>
      <c r="S652" s="792"/>
      <c r="T652" s="792"/>
      <c r="U652" s="792"/>
      <c r="V652" s="792"/>
      <c r="W652" s="792"/>
      <c r="X652" s="792"/>
    </row>
    <row r="653" spans="16:24" s="793" customFormat="1" ht="16.5">
      <c r="P653" s="792"/>
      <c r="Q653" s="792"/>
      <c r="R653" s="792"/>
      <c r="S653" s="792"/>
      <c r="T653" s="792"/>
      <c r="U653" s="792"/>
      <c r="V653" s="792"/>
      <c r="W653" s="792"/>
      <c r="X653" s="792"/>
    </row>
    <row r="654" spans="16:24" s="793" customFormat="1" ht="16.5">
      <c r="P654" s="792"/>
      <c r="Q654" s="792"/>
      <c r="R654" s="792"/>
      <c r="S654" s="792"/>
      <c r="T654" s="792"/>
      <c r="U654" s="792"/>
      <c r="V654" s="792"/>
      <c r="W654" s="792"/>
      <c r="X654" s="792"/>
    </row>
    <row r="655" spans="16:24" s="793" customFormat="1" ht="16.5">
      <c r="P655" s="792"/>
      <c r="Q655" s="792"/>
      <c r="R655" s="792"/>
      <c r="S655" s="792"/>
      <c r="T655" s="792"/>
      <c r="U655" s="792"/>
      <c r="V655" s="792"/>
      <c r="W655" s="792"/>
      <c r="X655" s="792"/>
    </row>
    <row r="656" spans="16:24" s="793" customFormat="1" ht="16.5">
      <c r="P656" s="792"/>
      <c r="Q656" s="792"/>
      <c r="R656" s="792"/>
      <c r="S656" s="792"/>
      <c r="T656" s="792"/>
      <c r="U656" s="792"/>
      <c r="V656" s="792"/>
      <c r="W656" s="792"/>
      <c r="X656" s="792"/>
    </row>
    <row r="657" spans="16:24" s="793" customFormat="1" ht="16.5">
      <c r="P657" s="792"/>
      <c r="Q657" s="792"/>
      <c r="R657" s="792"/>
      <c r="S657" s="792"/>
      <c r="T657" s="792"/>
      <c r="U657" s="792"/>
      <c r="V657" s="792"/>
      <c r="W657" s="792"/>
      <c r="X657" s="792"/>
    </row>
    <row r="658" spans="16:24" s="793" customFormat="1" ht="16.5">
      <c r="P658" s="792"/>
      <c r="Q658" s="792"/>
      <c r="R658" s="792"/>
      <c r="S658" s="792"/>
      <c r="T658" s="792"/>
      <c r="U658" s="792"/>
      <c r="V658" s="792"/>
      <c r="W658" s="792"/>
      <c r="X658" s="792"/>
    </row>
    <row r="659" spans="16:24" s="793" customFormat="1" ht="16.5">
      <c r="P659" s="792"/>
      <c r="Q659" s="792"/>
      <c r="R659" s="792"/>
      <c r="S659" s="792"/>
      <c r="T659" s="792"/>
      <c r="U659" s="792"/>
      <c r="V659" s="792"/>
      <c r="W659" s="792"/>
      <c r="X659" s="792"/>
    </row>
    <row r="660" spans="16:24" s="793" customFormat="1" ht="16.5">
      <c r="P660" s="792"/>
      <c r="Q660" s="792"/>
      <c r="R660" s="792"/>
      <c r="S660" s="792"/>
      <c r="T660" s="792"/>
      <c r="U660" s="792"/>
      <c r="V660" s="792"/>
      <c r="W660" s="792"/>
      <c r="X660" s="792"/>
    </row>
    <row r="661" spans="16:24" s="793" customFormat="1" ht="16.5">
      <c r="P661" s="792"/>
      <c r="Q661" s="792"/>
      <c r="R661" s="792"/>
      <c r="S661" s="792"/>
      <c r="T661" s="792"/>
      <c r="U661" s="792"/>
      <c r="V661" s="792"/>
      <c r="W661" s="792"/>
      <c r="X661" s="792"/>
    </row>
    <row r="662" spans="16:24" s="793" customFormat="1" ht="16.5">
      <c r="P662" s="792"/>
      <c r="Q662" s="792"/>
      <c r="R662" s="792"/>
      <c r="S662" s="792"/>
      <c r="T662" s="792"/>
      <c r="U662" s="792"/>
      <c r="V662" s="792"/>
      <c r="W662" s="792"/>
      <c r="X662" s="792"/>
    </row>
    <row r="663" spans="16:24" s="793" customFormat="1" ht="16.5">
      <c r="P663" s="792"/>
      <c r="Q663" s="792"/>
      <c r="R663" s="792"/>
      <c r="S663" s="792"/>
      <c r="T663" s="792"/>
      <c r="U663" s="792"/>
      <c r="V663" s="792"/>
      <c r="W663" s="792"/>
      <c r="X663" s="792"/>
    </row>
    <row r="664" spans="16:24" s="793" customFormat="1" ht="16.5">
      <c r="P664" s="792"/>
      <c r="Q664" s="792"/>
      <c r="R664" s="792"/>
      <c r="S664" s="792"/>
      <c r="T664" s="792"/>
      <c r="U664" s="792"/>
      <c r="V664" s="792"/>
      <c r="W664" s="792"/>
      <c r="X664" s="792"/>
    </row>
    <row r="665" spans="16:24" s="793" customFormat="1" ht="16.5">
      <c r="P665" s="792"/>
      <c r="Q665" s="792"/>
      <c r="R665" s="792"/>
      <c r="S665" s="792"/>
      <c r="T665" s="792"/>
      <c r="U665" s="792"/>
      <c r="V665" s="792"/>
      <c r="W665" s="792"/>
      <c r="X665" s="792"/>
    </row>
    <row r="666" spans="16:24" s="793" customFormat="1" ht="16.5">
      <c r="P666" s="792"/>
      <c r="Q666" s="792"/>
      <c r="R666" s="792"/>
      <c r="S666" s="792"/>
      <c r="T666" s="792"/>
      <c r="U666" s="792"/>
      <c r="V666" s="792"/>
      <c r="W666" s="792"/>
      <c r="X666" s="792"/>
    </row>
    <row r="667" spans="16:24" s="793" customFormat="1" ht="16.5">
      <c r="P667" s="792"/>
      <c r="Q667" s="792"/>
      <c r="R667" s="792"/>
      <c r="S667" s="792"/>
      <c r="T667" s="792"/>
      <c r="U667" s="792"/>
      <c r="V667" s="792"/>
      <c r="W667" s="792"/>
      <c r="X667" s="792"/>
    </row>
    <row r="668" spans="16:24" s="793" customFormat="1" ht="16.5">
      <c r="P668" s="792"/>
      <c r="Q668" s="792"/>
      <c r="R668" s="792"/>
      <c r="S668" s="792"/>
      <c r="T668" s="792"/>
      <c r="U668" s="792"/>
      <c r="V668" s="792"/>
      <c r="W668" s="792"/>
      <c r="X668" s="792"/>
    </row>
    <row r="669" spans="16:24" s="793" customFormat="1" ht="16.5">
      <c r="P669" s="792"/>
      <c r="Q669" s="792"/>
      <c r="R669" s="792"/>
      <c r="S669" s="792"/>
      <c r="T669" s="792"/>
      <c r="U669" s="792"/>
      <c r="V669" s="792"/>
      <c r="W669" s="792"/>
      <c r="X669" s="792"/>
    </row>
    <row r="670" spans="16:24" s="793" customFormat="1" ht="16.5">
      <c r="P670" s="792"/>
      <c r="Q670" s="792"/>
      <c r="R670" s="792"/>
      <c r="S670" s="792"/>
      <c r="T670" s="792"/>
      <c r="U670" s="792"/>
      <c r="V670" s="792"/>
      <c r="W670" s="792"/>
      <c r="X670" s="792"/>
    </row>
    <row r="671" spans="16:24" s="793" customFormat="1" ht="16.5">
      <c r="P671" s="792"/>
      <c r="Q671" s="792"/>
      <c r="R671" s="792"/>
      <c r="S671" s="792"/>
      <c r="T671" s="792"/>
      <c r="U671" s="792"/>
      <c r="V671" s="792"/>
      <c r="W671" s="792"/>
      <c r="X671" s="792"/>
    </row>
    <row r="672" spans="16:24" s="793" customFormat="1" ht="16.5">
      <c r="P672" s="792"/>
      <c r="Q672" s="792"/>
      <c r="R672" s="792"/>
      <c r="S672" s="792"/>
      <c r="T672" s="792"/>
      <c r="U672" s="792"/>
      <c r="V672" s="792"/>
      <c r="W672" s="792"/>
      <c r="X672" s="792"/>
    </row>
    <row r="673" spans="16:24" s="793" customFormat="1" ht="16.5">
      <c r="P673" s="792"/>
      <c r="Q673" s="792"/>
      <c r="R673" s="792"/>
      <c r="S673" s="792"/>
      <c r="T673" s="792"/>
      <c r="U673" s="792"/>
      <c r="V673" s="792"/>
      <c r="W673" s="792"/>
      <c r="X673" s="792"/>
    </row>
    <row r="674" spans="16:24" s="793" customFormat="1" ht="16.5">
      <c r="P674" s="792"/>
      <c r="Q674" s="792"/>
      <c r="R674" s="792"/>
      <c r="S674" s="792"/>
      <c r="T674" s="792"/>
      <c r="U674" s="792"/>
      <c r="V674" s="792"/>
      <c r="W674" s="792"/>
      <c r="X674" s="792"/>
    </row>
    <row r="675" spans="16:24" s="793" customFormat="1" ht="16.5">
      <c r="P675" s="792"/>
      <c r="Q675" s="792"/>
      <c r="R675" s="792"/>
      <c r="S675" s="792"/>
      <c r="T675" s="792"/>
      <c r="U675" s="792"/>
      <c r="V675" s="792"/>
      <c r="W675" s="792"/>
      <c r="X675" s="792"/>
    </row>
    <row r="676" spans="16:24" s="793" customFormat="1" ht="16.5">
      <c r="P676" s="792"/>
      <c r="Q676" s="792"/>
      <c r="R676" s="792"/>
      <c r="S676" s="792"/>
      <c r="T676" s="792"/>
      <c r="U676" s="792"/>
      <c r="V676" s="792"/>
      <c r="W676" s="792"/>
      <c r="X676" s="792"/>
    </row>
    <row r="677" spans="16:24" s="793" customFormat="1" ht="16.5">
      <c r="P677" s="792"/>
      <c r="Q677" s="792"/>
      <c r="R677" s="792"/>
      <c r="S677" s="792"/>
      <c r="T677" s="792"/>
      <c r="U677" s="792"/>
      <c r="V677" s="792"/>
      <c r="W677" s="792"/>
      <c r="X677" s="792"/>
    </row>
    <row r="678" spans="16:24" s="793" customFormat="1" ht="16.5">
      <c r="P678" s="792"/>
      <c r="Q678" s="792"/>
      <c r="R678" s="792"/>
      <c r="S678" s="792"/>
      <c r="T678" s="792"/>
      <c r="U678" s="792"/>
      <c r="V678" s="792"/>
      <c r="W678" s="792"/>
      <c r="X678" s="792"/>
    </row>
    <row r="679" spans="16:24" s="793" customFormat="1" ht="16.5">
      <c r="P679" s="792"/>
      <c r="Q679" s="792"/>
      <c r="R679" s="792"/>
      <c r="S679" s="792"/>
      <c r="T679" s="792"/>
      <c r="U679" s="792"/>
      <c r="V679" s="792"/>
      <c r="W679" s="792"/>
      <c r="X679" s="792"/>
    </row>
    <row r="680" spans="16:24" s="793" customFormat="1" ht="16.5">
      <c r="P680" s="792"/>
      <c r="Q680" s="792"/>
      <c r="R680" s="792"/>
      <c r="S680" s="792"/>
      <c r="T680" s="792"/>
      <c r="U680" s="792"/>
      <c r="V680" s="792"/>
      <c r="W680" s="792"/>
      <c r="X680" s="792"/>
    </row>
    <row r="681" spans="16:24" s="793" customFormat="1" ht="16.5">
      <c r="P681" s="792"/>
      <c r="Q681" s="792"/>
      <c r="R681" s="792"/>
      <c r="S681" s="792"/>
      <c r="T681" s="792"/>
      <c r="U681" s="792"/>
      <c r="V681" s="792"/>
      <c r="W681" s="792"/>
      <c r="X681" s="792"/>
    </row>
    <row r="682" spans="16:24" s="793" customFormat="1" ht="16.5">
      <c r="P682" s="792"/>
      <c r="Q682" s="792"/>
      <c r="R682" s="792"/>
      <c r="S682" s="792"/>
      <c r="T682" s="792"/>
      <c r="U682" s="792"/>
      <c r="V682" s="792"/>
      <c r="W682" s="792"/>
      <c r="X682" s="792"/>
    </row>
    <row r="683" spans="16:24" s="793" customFormat="1" ht="16.5">
      <c r="P683" s="792"/>
      <c r="Q683" s="792"/>
      <c r="R683" s="792"/>
      <c r="S683" s="792"/>
      <c r="T683" s="792"/>
      <c r="U683" s="792"/>
      <c r="V683" s="792"/>
      <c r="W683" s="792"/>
      <c r="X683" s="792"/>
    </row>
    <row r="684" spans="16:24" s="793" customFormat="1" ht="16.5">
      <c r="P684" s="792"/>
      <c r="Q684" s="792"/>
      <c r="R684" s="792"/>
      <c r="S684" s="792"/>
      <c r="T684" s="792"/>
      <c r="U684" s="792"/>
      <c r="V684" s="792"/>
      <c r="W684" s="792"/>
      <c r="X684" s="792"/>
    </row>
    <row r="685" spans="16:24" s="793" customFormat="1" ht="16.5">
      <c r="P685" s="792"/>
      <c r="Q685" s="792"/>
      <c r="R685" s="792"/>
      <c r="S685" s="792"/>
      <c r="T685" s="792"/>
      <c r="U685" s="792"/>
      <c r="V685" s="792"/>
      <c r="W685" s="792"/>
      <c r="X685" s="792"/>
    </row>
    <row r="686" spans="16:24" s="793" customFormat="1" ht="16.5">
      <c r="P686" s="792"/>
      <c r="Q686" s="792"/>
      <c r="R686" s="792"/>
      <c r="S686" s="792"/>
      <c r="T686" s="792"/>
      <c r="U686" s="792"/>
      <c r="V686" s="792"/>
      <c r="W686" s="792"/>
      <c r="X686" s="792"/>
    </row>
    <row r="687" spans="16:24" s="793" customFormat="1" ht="16.5">
      <c r="P687" s="792"/>
      <c r="Q687" s="792"/>
      <c r="R687" s="792"/>
      <c r="S687" s="792"/>
      <c r="T687" s="792"/>
      <c r="U687" s="792"/>
      <c r="V687" s="792"/>
      <c r="W687" s="792"/>
      <c r="X687" s="792"/>
    </row>
    <row r="688" spans="16:24" s="793" customFormat="1" ht="16.5">
      <c r="P688" s="792"/>
      <c r="Q688" s="792"/>
      <c r="R688" s="792"/>
      <c r="S688" s="792"/>
      <c r="T688" s="792"/>
      <c r="U688" s="792"/>
      <c r="V688" s="792"/>
      <c r="W688" s="792"/>
      <c r="X688" s="792"/>
    </row>
    <row r="689" spans="16:24" s="793" customFormat="1" ht="16.5">
      <c r="P689" s="792"/>
      <c r="Q689" s="792"/>
      <c r="R689" s="792"/>
      <c r="S689" s="792"/>
      <c r="T689" s="792"/>
      <c r="U689" s="792"/>
      <c r="V689" s="792"/>
      <c r="W689" s="792"/>
      <c r="X689" s="792"/>
    </row>
    <row r="690" spans="16:24" s="793" customFormat="1" ht="16.5">
      <c r="P690" s="792"/>
      <c r="Q690" s="792"/>
      <c r="R690" s="792"/>
      <c r="S690" s="792"/>
      <c r="T690" s="792"/>
      <c r="U690" s="792"/>
      <c r="V690" s="792"/>
      <c r="W690" s="792"/>
      <c r="X690" s="792"/>
    </row>
    <row r="691" spans="16:24" s="793" customFormat="1" ht="16.5">
      <c r="P691" s="792"/>
      <c r="Q691" s="792"/>
      <c r="R691" s="792"/>
      <c r="S691" s="792"/>
      <c r="T691" s="792"/>
      <c r="U691" s="792"/>
      <c r="V691" s="792"/>
      <c r="W691" s="792"/>
      <c r="X691" s="792"/>
    </row>
    <row r="692" spans="16:24" s="793" customFormat="1" ht="16.5">
      <c r="P692" s="792"/>
      <c r="Q692" s="792"/>
      <c r="R692" s="792"/>
      <c r="S692" s="792"/>
      <c r="T692" s="792"/>
      <c r="U692" s="792"/>
      <c r="V692" s="792"/>
      <c r="W692" s="792"/>
      <c r="X692" s="792"/>
    </row>
    <row r="693" spans="16:24" s="793" customFormat="1" ht="16.5">
      <c r="P693" s="792"/>
      <c r="Q693" s="792"/>
      <c r="R693" s="792"/>
      <c r="S693" s="792"/>
      <c r="T693" s="792"/>
      <c r="U693" s="792"/>
      <c r="V693" s="792"/>
      <c r="W693" s="792"/>
      <c r="X693" s="792"/>
    </row>
    <row r="694" spans="16:24" s="793" customFormat="1" ht="16.5">
      <c r="P694" s="792"/>
      <c r="Q694" s="792"/>
      <c r="R694" s="792"/>
      <c r="S694" s="792"/>
      <c r="T694" s="792"/>
      <c r="U694" s="792"/>
      <c r="V694" s="792"/>
      <c r="W694" s="792"/>
      <c r="X694" s="792"/>
    </row>
    <row r="695" spans="16:24" s="793" customFormat="1" ht="16.5">
      <c r="P695" s="792"/>
      <c r="Q695" s="792"/>
      <c r="R695" s="792"/>
      <c r="S695" s="792"/>
      <c r="T695" s="792"/>
      <c r="U695" s="792"/>
      <c r="V695" s="792"/>
      <c r="W695" s="792"/>
      <c r="X695" s="792"/>
    </row>
    <row r="696" spans="16:24" s="793" customFormat="1" ht="16.5">
      <c r="P696" s="792"/>
      <c r="Q696" s="792"/>
      <c r="R696" s="792"/>
      <c r="S696" s="792"/>
      <c r="T696" s="792"/>
      <c r="U696" s="792"/>
      <c r="V696" s="792"/>
      <c r="W696" s="792"/>
      <c r="X696" s="792"/>
    </row>
    <row r="697" spans="16:24" s="793" customFormat="1" ht="16.5">
      <c r="P697" s="792"/>
      <c r="Q697" s="792"/>
      <c r="R697" s="792"/>
      <c r="S697" s="792"/>
      <c r="T697" s="792"/>
      <c r="U697" s="792"/>
      <c r="V697" s="792"/>
      <c r="W697" s="792"/>
      <c r="X697" s="792"/>
    </row>
    <row r="698" spans="16:24" s="793" customFormat="1" ht="16.5">
      <c r="P698" s="792"/>
      <c r="Q698" s="792"/>
      <c r="R698" s="792"/>
      <c r="S698" s="792"/>
      <c r="T698" s="792"/>
      <c r="U698" s="792"/>
      <c r="V698" s="792"/>
      <c r="W698" s="792"/>
      <c r="X698" s="792"/>
    </row>
    <row r="699" spans="16:24" s="793" customFormat="1" ht="16.5">
      <c r="P699" s="792"/>
      <c r="Q699" s="792"/>
      <c r="R699" s="792"/>
      <c r="S699" s="792"/>
      <c r="T699" s="792"/>
      <c r="U699" s="792"/>
      <c r="V699" s="792"/>
      <c r="W699" s="792"/>
      <c r="X699" s="792"/>
    </row>
    <row r="700" spans="16:24" s="793" customFormat="1" ht="16.5">
      <c r="P700" s="792"/>
      <c r="Q700" s="792"/>
      <c r="R700" s="792"/>
      <c r="S700" s="792"/>
      <c r="T700" s="792"/>
      <c r="U700" s="792"/>
      <c r="V700" s="792"/>
      <c r="W700" s="792"/>
      <c r="X700" s="792"/>
    </row>
    <row r="701" spans="16:24" s="793" customFormat="1" ht="16.5">
      <c r="P701" s="792"/>
      <c r="Q701" s="792"/>
      <c r="R701" s="792"/>
      <c r="S701" s="792"/>
      <c r="T701" s="792"/>
      <c r="U701" s="792"/>
      <c r="V701" s="792"/>
      <c r="W701" s="792"/>
      <c r="X701" s="792"/>
    </row>
    <row r="702" spans="16:24" s="793" customFormat="1" ht="16.5">
      <c r="P702" s="792"/>
      <c r="Q702" s="792"/>
      <c r="R702" s="792"/>
      <c r="S702" s="792"/>
      <c r="T702" s="792"/>
      <c r="U702" s="792"/>
      <c r="V702" s="792"/>
      <c r="W702" s="792"/>
      <c r="X702" s="792"/>
    </row>
    <row r="703" spans="16:24" s="793" customFormat="1" ht="16.5">
      <c r="P703" s="792"/>
      <c r="Q703" s="792"/>
      <c r="R703" s="792"/>
      <c r="S703" s="792"/>
      <c r="T703" s="792"/>
      <c r="U703" s="792"/>
      <c r="V703" s="792"/>
      <c r="W703" s="792"/>
      <c r="X703" s="792"/>
    </row>
    <row r="704" spans="16:24" s="793" customFormat="1" ht="16.5">
      <c r="P704" s="792"/>
      <c r="Q704" s="792"/>
      <c r="R704" s="792"/>
      <c r="S704" s="792"/>
      <c r="T704" s="792"/>
      <c r="U704" s="792"/>
      <c r="V704" s="792"/>
      <c r="W704" s="792"/>
      <c r="X704" s="792"/>
    </row>
    <row r="705" spans="16:24" s="793" customFormat="1" ht="16.5">
      <c r="P705" s="792"/>
      <c r="Q705" s="792"/>
      <c r="R705" s="792"/>
      <c r="S705" s="792"/>
      <c r="T705" s="792"/>
      <c r="U705" s="792"/>
      <c r="V705" s="792"/>
      <c r="W705" s="792"/>
      <c r="X705" s="792"/>
    </row>
    <row r="706" spans="16:24" s="793" customFormat="1" ht="16.5">
      <c r="P706" s="792"/>
      <c r="Q706" s="792"/>
      <c r="R706" s="792"/>
      <c r="S706" s="792"/>
      <c r="T706" s="792"/>
      <c r="U706" s="792"/>
      <c r="V706" s="792"/>
      <c r="W706" s="792"/>
      <c r="X706" s="792"/>
    </row>
    <row r="707" spans="16:24" s="793" customFormat="1" ht="16.5">
      <c r="P707" s="792"/>
      <c r="Q707" s="792"/>
      <c r="R707" s="792"/>
      <c r="S707" s="792"/>
      <c r="T707" s="792"/>
      <c r="U707" s="792"/>
      <c r="V707" s="792"/>
      <c r="W707" s="792"/>
      <c r="X707" s="792"/>
    </row>
    <row r="708" spans="16:24" s="793" customFormat="1" ht="16.5">
      <c r="P708" s="792"/>
      <c r="Q708" s="792"/>
      <c r="R708" s="792"/>
      <c r="S708" s="792"/>
      <c r="T708" s="792"/>
      <c r="U708" s="792"/>
      <c r="V708" s="792"/>
      <c r="W708" s="792"/>
      <c r="X708" s="792"/>
    </row>
    <row r="709" spans="16:24" s="793" customFormat="1" ht="16.5">
      <c r="P709" s="792"/>
      <c r="Q709" s="792"/>
      <c r="R709" s="792"/>
      <c r="S709" s="792"/>
      <c r="T709" s="792"/>
      <c r="U709" s="792"/>
      <c r="V709" s="792"/>
      <c r="W709" s="792"/>
      <c r="X709" s="792"/>
    </row>
    <row r="710" spans="16:24" s="793" customFormat="1" ht="16.5">
      <c r="P710" s="792"/>
      <c r="Q710" s="792"/>
      <c r="R710" s="792"/>
      <c r="S710" s="792"/>
      <c r="T710" s="792"/>
      <c r="U710" s="792"/>
      <c r="V710" s="792"/>
      <c r="W710" s="792"/>
      <c r="X710" s="792"/>
    </row>
    <row r="711" spans="16:24" s="793" customFormat="1" ht="16.5">
      <c r="P711" s="792"/>
      <c r="Q711" s="792"/>
      <c r="R711" s="792"/>
      <c r="S711" s="792"/>
      <c r="T711" s="792"/>
      <c r="U711" s="792"/>
      <c r="V711" s="792"/>
      <c r="W711" s="792"/>
      <c r="X711" s="792"/>
    </row>
    <row r="712" spans="16:24" s="793" customFormat="1" ht="16.5">
      <c r="P712" s="792"/>
      <c r="Q712" s="792"/>
      <c r="R712" s="792"/>
      <c r="S712" s="792"/>
      <c r="T712" s="792"/>
      <c r="U712" s="792"/>
      <c r="V712" s="792"/>
      <c r="W712" s="792"/>
      <c r="X712" s="792"/>
    </row>
    <row r="713" spans="16:24" s="793" customFormat="1" ht="16.5">
      <c r="P713" s="792"/>
      <c r="Q713" s="792"/>
      <c r="R713" s="792"/>
      <c r="S713" s="792"/>
      <c r="T713" s="792"/>
      <c r="U713" s="792"/>
      <c r="V713" s="792"/>
      <c r="W713" s="792"/>
      <c r="X713" s="792"/>
    </row>
    <row r="714" spans="16:24" s="793" customFormat="1" ht="16.5">
      <c r="P714" s="792"/>
      <c r="Q714" s="792"/>
      <c r="R714" s="792"/>
      <c r="S714" s="792"/>
      <c r="T714" s="792"/>
      <c r="U714" s="792"/>
      <c r="V714" s="792"/>
      <c r="W714" s="792"/>
      <c r="X714" s="792"/>
    </row>
    <row r="715" spans="16:24" s="793" customFormat="1" ht="16.5">
      <c r="P715" s="792"/>
      <c r="Q715" s="792"/>
      <c r="R715" s="792"/>
      <c r="S715" s="792"/>
      <c r="T715" s="792"/>
      <c r="U715" s="792"/>
      <c r="V715" s="792"/>
      <c r="W715" s="792"/>
      <c r="X715" s="792"/>
    </row>
    <row r="716" spans="16:24" s="793" customFormat="1" ht="16.5">
      <c r="P716" s="792"/>
      <c r="Q716" s="792"/>
      <c r="R716" s="792"/>
      <c r="S716" s="792"/>
      <c r="T716" s="792"/>
      <c r="U716" s="792"/>
      <c r="V716" s="792"/>
      <c r="W716" s="792"/>
      <c r="X716" s="792"/>
    </row>
    <row r="717" spans="16:24" s="793" customFormat="1" ht="16.5">
      <c r="P717" s="792"/>
      <c r="Q717" s="792"/>
      <c r="R717" s="792"/>
      <c r="S717" s="792"/>
      <c r="T717" s="792"/>
      <c r="U717" s="792"/>
      <c r="V717" s="792"/>
      <c r="W717" s="792"/>
      <c r="X717" s="792"/>
    </row>
    <row r="718" spans="16:24" s="793" customFormat="1" ht="16.5">
      <c r="P718" s="792"/>
      <c r="Q718" s="792"/>
      <c r="R718" s="792"/>
      <c r="S718" s="792"/>
      <c r="T718" s="792"/>
      <c r="U718" s="792"/>
      <c r="V718" s="792"/>
      <c r="W718" s="792"/>
      <c r="X718" s="792"/>
    </row>
    <row r="719" spans="16:24" s="793" customFormat="1" ht="16.5">
      <c r="P719" s="792"/>
      <c r="Q719" s="792"/>
      <c r="R719" s="792"/>
      <c r="S719" s="792"/>
      <c r="T719" s="792"/>
      <c r="U719" s="792"/>
      <c r="V719" s="792"/>
      <c r="W719" s="792"/>
      <c r="X719" s="792"/>
    </row>
    <row r="720" spans="16:24" s="793" customFormat="1" ht="16.5">
      <c r="P720" s="792"/>
      <c r="Q720" s="792"/>
      <c r="R720" s="792"/>
      <c r="S720" s="792"/>
      <c r="T720" s="792"/>
      <c r="U720" s="792"/>
      <c r="V720" s="792"/>
      <c r="W720" s="792"/>
      <c r="X720" s="792"/>
    </row>
    <row r="721" spans="16:24" s="793" customFormat="1" ht="16.5">
      <c r="P721" s="792"/>
      <c r="Q721" s="792"/>
      <c r="R721" s="792"/>
      <c r="S721" s="792"/>
      <c r="T721" s="792"/>
      <c r="U721" s="792"/>
      <c r="V721" s="792"/>
      <c r="W721" s="792"/>
      <c r="X721" s="792"/>
    </row>
    <row r="722" spans="16:24" s="793" customFormat="1" ht="16.5">
      <c r="P722" s="792"/>
      <c r="Q722" s="792"/>
      <c r="R722" s="792"/>
      <c r="S722" s="792"/>
      <c r="T722" s="792"/>
      <c r="U722" s="792"/>
      <c r="V722" s="792"/>
      <c r="W722" s="792"/>
      <c r="X722" s="792"/>
    </row>
    <row r="723" spans="16:24" s="793" customFormat="1" ht="16.5">
      <c r="P723" s="792"/>
      <c r="Q723" s="792"/>
      <c r="R723" s="792"/>
      <c r="S723" s="792"/>
      <c r="T723" s="792"/>
      <c r="U723" s="792"/>
      <c r="V723" s="792"/>
      <c r="W723" s="792"/>
      <c r="X723" s="792"/>
    </row>
    <row r="724" spans="16:24" s="793" customFormat="1" ht="16.5">
      <c r="P724" s="792"/>
      <c r="Q724" s="792"/>
      <c r="R724" s="792"/>
      <c r="S724" s="792"/>
      <c r="T724" s="792"/>
      <c r="U724" s="792"/>
      <c r="V724" s="792"/>
      <c r="W724" s="792"/>
      <c r="X724" s="792"/>
    </row>
    <row r="725" spans="16:24" s="793" customFormat="1" ht="16.5">
      <c r="P725" s="792"/>
      <c r="Q725" s="792"/>
      <c r="R725" s="792"/>
      <c r="S725" s="792"/>
      <c r="T725" s="792"/>
      <c r="U725" s="792"/>
      <c r="V725" s="792"/>
      <c r="W725" s="792"/>
      <c r="X725" s="792"/>
    </row>
    <row r="726" spans="16:24" s="793" customFormat="1" ht="16.5">
      <c r="P726" s="792"/>
      <c r="Q726" s="792"/>
      <c r="R726" s="792"/>
      <c r="S726" s="792"/>
      <c r="T726" s="792"/>
      <c r="U726" s="792"/>
      <c r="V726" s="792"/>
      <c r="W726" s="792"/>
      <c r="X726" s="792"/>
    </row>
    <row r="727" spans="16:24" s="793" customFormat="1" ht="16.5">
      <c r="P727" s="792"/>
      <c r="Q727" s="792"/>
      <c r="R727" s="792"/>
      <c r="S727" s="792"/>
      <c r="T727" s="792"/>
      <c r="U727" s="792"/>
      <c r="V727" s="792"/>
      <c r="W727" s="792"/>
      <c r="X727" s="792"/>
    </row>
    <row r="728" spans="16:24" s="793" customFormat="1" ht="16.5">
      <c r="P728" s="792"/>
      <c r="Q728" s="792"/>
      <c r="R728" s="792"/>
      <c r="S728" s="792"/>
      <c r="T728" s="792"/>
      <c r="U728" s="792"/>
      <c r="V728" s="792"/>
      <c r="W728" s="792"/>
      <c r="X728" s="792"/>
    </row>
    <row r="729" spans="16:24" s="793" customFormat="1" ht="16.5">
      <c r="P729" s="792"/>
      <c r="Q729" s="792"/>
      <c r="R729" s="792"/>
      <c r="S729" s="792"/>
      <c r="T729" s="792"/>
      <c r="U729" s="792"/>
      <c r="V729" s="792"/>
      <c r="W729" s="792"/>
      <c r="X729" s="792"/>
    </row>
    <row r="730" spans="16:24" s="793" customFormat="1" ht="16.5">
      <c r="P730" s="792"/>
      <c r="Q730" s="792"/>
      <c r="R730" s="792"/>
      <c r="S730" s="792"/>
      <c r="T730" s="792"/>
      <c r="U730" s="792"/>
      <c r="V730" s="792"/>
      <c r="W730" s="792"/>
      <c r="X730" s="792"/>
    </row>
    <row r="731" spans="16:24" s="793" customFormat="1" ht="16.5">
      <c r="P731" s="792"/>
      <c r="Q731" s="792"/>
      <c r="R731" s="792"/>
      <c r="S731" s="792"/>
      <c r="T731" s="792"/>
      <c r="U731" s="792"/>
      <c r="V731" s="792"/>
      <c r="W731" s="792"/>
      <c r="X731" s="792"/>
    </row>
    <row r="732" spans="16:24" s="793" customFormat="1" ht="16.5">
      <c r="P732" s="792"/>
      <c r="Q732" s="792"/>
      <c r="R732" s="792"/>
      <c r="S732" s="792"/>
      <c r="T732" s="792"/>
      <c r="U732" s="792"/>
      <c r="V732" s="792"/>
      <c r="W732" s="792"/>
      <c r="X732" s="792"/>
    </row>
    <row r="733" spans="16:24" s="793" customFormat="1" ht="16.5">
      <c r="P733" s="792"/>
      <c r="Q733" s="792"/>
      <c r="R733" s="792"/>
      <c r="S733" s="792"/>
      <c r="T733" s="792"/>
      <c r="U733" s="792"/>
      <c r="V733" s="792"/>
      <c r="W733" s="792"/>
      <c r="X733" s="792"/>
    </row>
    <row r="734" spans="16:24" s="793" customFormat="1" ht="16.5">
      <c r="P734" s="792"/>
      <c r="Q734" s="792"/>
      <c r="R734" s="792"/>
      <c r="S734" s="792"/>
      <c r="T734" s="792"/>
      <c r="U734" s="792"/>
      <c r="V734" s="792"/>
      <c r="W734" s="792"/>
      <c r="X734" s="792"/>
    </row>
    <row r="735" spans="16:24" s="793" customFormat="1" ht="16.5">
      <c r="P735" s="792"/>
      <c r="Q735" s="792"/>
      <c r="R735" s="792"/>
      <c r="S735" s="792"/>
      <c r="T735" s="792"/>
      <c r="U735" s="792"/>
      <c r="V735" s="792"/>
      <c r="W735" s="792"/>
      <c r="X735" s="792"/>
    </row>
    <row r="736" spans="16:24" s="793" customFormat="1" ht="16.5">
      <c r="P736" s="792"/>
      <c r="Q736" s="792"/>
      <c r="R736" s="792"/>
      <c r="S736" s="792"/>
      <c r="T736" s="792"/>
      <c r="U736" s="792"/>
      <c r="V736" s="792"/>
      <c r="W736" s="792"/>
      <c r="X736" s="792"/>
    </row>
    <row r="737" spans="16:24" s="793" customFormat="1" ht="16.5">
      <c r="P737" s="792"/>
      <c r="Q737" s="792"/>
      <c r="R737" s="792"/>
      <c r="S737" s="792"/>
      <c r="T737" s="792"/>
      <c r="U737" s="792"/>
      <c r="V737" s="792"/>
      <c r="W737" s="792"/>
      <c r="X737" s="792"/>
    </row>
    <row r="738" spans="16:24" s="793" customFormat="1" ht="16.5">
      <c r="P738" s="792"/>
      <c r="Q738" s="792"/>
      <c r="R738" s="792"/>
      <c r="S738" s="792"/>
      <c r="T738" s="792"/>
      <c r="U738" s="792"/>
      <c r="V738" s="792"/>
      <c r="W738" s="792"/>
      <c r="X738" s="792"/>
    </row>
    <row r="739" spans="16:24" s="793" customFormat="1" ht="16.5">
      <c r="P739" s="792"/>
      <c r="Q739" s="792"/>
      <c r="R739" s="792"/>
      <c r="S739" s="792"/>
      <c r="T739" s="792"/>
      <c r="U739" s="792"/>
      <c r="V739" s="792"/>
      <c r="W739" s="792"/>
      <c r="X739" s="792"/>
    </row>
    <row r="740" spans="16:24" s="793" customFormat="1" ht="16.5">
      <c r="P740" s="792"/>
      <c r="Q740" s="792"/>
      <c r="R740" s="792"/>
      <c r="S740" s="792"/>
      <c r="T740" s="792"/>
      <c r="U740" s="792"/>
      <c r="V740" s="792"/>
      <c r="W740" s="792"/>
      <c r="X740" s="792"/>
    </row>
    <row r="741" spans="16:24" s="793" customFormat="1" ht="16.5">
      <c r="P741" s="792"/>
      <c r="Q741" s="792"/>
      <c r="R741" s="792"/>
      <c r="S741" s="792"/>
      <c r="T741" s="792"/>
      <c r="U741" s="792"/>
      <c r="V741" s="792"/>
      <c r="W741" s="792"/>
      <c r="X741" s="792"/>
    </row>
    <row r="742" spans="16:24" s="793" customFormat="1" ht="16.5">
      <c r="P742" s="792"/>
      <c r="Q742" s="792"/>
      <c r="R742" s="792"/>
      <c r="S742" s="792"/>
      <c r="T742" s="792"/>
      <c r="U742" s="792"/>
      <c r="V742" s="792"/>
      <c r="W742" s="792"/>
      <c r="X742" s="792"/>
    </row>
    <row r="743" spans="16:24" s="793" customFormat="1" ht="16.5">
      <c r="P743" s="792"/>
      <c r="Q743" s="792"/>
      <c r="R743" s="792"/>
      <c r="S743" s="792"/>
      <c r="T743" s="792"/>
      <c r="U743" s="792"/>
      <c r="V743" s="792"/>
      <c r="W743" s="792"/>
      <c r="X743" s="792"/>
    </row>
    <row r="744" spans="16:24" s="793" customFormat="1" ht="16.5">
      <c r="P744" s="792"/>
      <c r="Q744" s="792"/>
      <c r="R744" s="792"/>
      <c r="S744" s="792"/>
      <c r="T744" s="792"/>
      <c r="U744" s="792"/>
      <c r="V744" s="792"/>
      <c r="W744" s="792"/>
      <c r="X744" s="792"/>
    </row>
    <row r="745" spans="16:24" s="793" customFormat="1" ht="16.5">
      <c r="P745" s="792"/>
      <c r="Q745" s="792"/>
      <c r="R745" s="792"/>
      <c r="S745" s="792"/>
      <c r="T745" s="792"/>
      <c r="U745" s="792"/>
      <c r="V745" s="792"/>
      <c r="W745" s="792"/>
      <c r="X745" s="792"/>
    </row>
    <row r="746" spans="16:24" s="793" customFormat="1" ht="16.5">
      <c r="P746" s="792"/>
      <c r="Q746" s="792"/>
      <c r="R746" s="792"/>
      <c r="S746" s="792"/>
      <c r="T746" s="792"/>
      <c r="U746" s="792"/>
      <c r="V746" s="792"/>
      <c r="W746" s="792"/>
      <c r="X746" s="792"/>
    </row>
    <row r="747" spans="16:24" s="793" customFormat="1" ht="16.5">
      <c r="P747" s="792"/>
      <c r="Q747" s="792"/>
      <c r="R747" s="792"/>
      <c r="S747" s="792"/>
      <c r="T747" s="792"/>
      <c r="U747" s="792"/>
      <c r="V747" s="792"/>
      <c r="W747" s="792"/>
      <c r="X747" s="792"/>
    </row>
    <row r="748" spans="16:24" s="793" customFormat="1" ht="16.5">
      <c r="P748" s="792"/>
      <c r="Q748" s="792"/>
      <c r="R748" s="792"/>
      <c r="S748" s="792"/>
      <c r="T748" s="792"/>
      <c r="U748" s="792"/>
      <c r="V748" s="792"/>
      <c r="W748" s="792"/>
      <c r="X748" s="792"/>
    </row>
    <row r="749" spans="16:24" s="793" customFormat="1" ht="16.5">
      <c r="P749" s="792"/>
      <c r="Q749" s="792"/>
      <c r="R749" s="792"/>
      <c r="S749" s="792"/>
      <c r="T749" s="792"/>
      <c r="U749" s="792"/>
      <c r="V749" s="792"/>
      <c r="W749" s="792"/>
      <c r="X749" s="792"/>
    </row>
    <row r="750" spans="16:24" s="793" customFormat="1" ht="16.5">
      <c r="P750" s="792"/>
      <c r="Q750" s="792"/>
      <c r="R750" s="792"/>
      <c r="S750" s="792"/>
      <c r="T750" s="792"/>
      <c r="U750" s="792"/>
      <c r="V750" s="792"/>
      <c r="W750" s="792"/>
      <c r="X750" s="792"/>
    </row>
    <row r="751" spans="16:24" s="793" customFormat="1" ht="16.5">
      <c r="P751" s="792"/>
      <c r="Q751" s="792"/>
      <c r="R751" s="792"/>
      <c r="S751" s="792"/>
      <c r="T751" s="792"/>
      <c r="U751" s="792"/>
      <c r="V751" s="792"/>
      <c r="W751" s="792"/>
      <c r="X751" s="792"/>
    </row>
    <row r="752" spans="16:24" s="793" customFormat="1" ht="16.5">
      <c r="P752" s="792"/>
      <c r="Q752" s="792"/>
      <c r="R752" s="792"/>
      <c r="S752" s="792"/>
      <c r="T752" s="792"/>
      <c r="U752" s="792"/>
      <c r="V752" s="792"/>
      <c r="W752" s="792"/>
      <c r="X752" s="792"/>
    </row>
    <row r="753" spans="16:24" ht="16.5">
      <c r="P753" s="572"/>
      <c r="Q753" s="572"/>
      <c r="R753" s="572"/>
      <c r="S753" s="572"/>
      <c r="T753" s="572"/>
      <c r="U753" s="572"/>
      <c r="V753" s="572"/>
      <c r="W753" s="572"/>
      <c r="X753" s="572"/>
    </row>
  </sheetData>
  <mergeCells count="22">
    <mergeCell ref="A1:Y1"/>
    <mergeCell ref="A2:Y2"/>
    <mergeCell ref="A3:Y3"/>
    <mergeCell ref="A6:M13"/>
    <mergeCell ref="N6:N13"/>
    <mergeCell ref="O6:O13"/>
    <mergeCell ref="P6:R9"/>
    <mergeCell ref="S6:U9"/>
    <mergeCell ref="V6:V9"/>
    <mergeCell ref="W6:W13"/>
    <mergeCell ref="A14:M14"/>
    <mergeCell ref="U322:W322"/>
    <mergeCell ref="X6:X13"/>
    <mergeCell ref="Y6:Y10"/>
    <mergeCell ref="P10:P13"/>
    <mergeCell ref="Q10:Q13"/>
    <mergeCell ref="R10:R13"/>
    <mergeCell ref="S10:S13"/>
    <mergeCell ref="T10:T13"/>
    <mergeCell ref="U10:U13"/>
    <mergeCell ref="V10:V13"/>
    <mergeCell ref="Y11:Y13"/>
  </mergeCells>
  <pageMargins left="0.15" right="1.5" top="0.5" bottom="0.5" header="0.51180555555555596" footer="0.25"/>
  <pageSetup paperSize="5" scale="40" orientation="landscape" useFirstPageNumber="1" horizontalDpi="4294967294" verticalDpi="0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774"/>
  <sheetViews>
    <sheetView topLeftCell="N1" zoomScale="62" zoomScaleNormal="62" workbookViewId="0">
      <pane xSplit="2" ySplit="15" topLeftCell="T174" activePane="bottomRight" state="frozen"/>
      <selection activeCell="N1" sqref="N1"/>
      <selection pane="topRight" activeCell="P1" sqref="P1"/>
      <selection pane="bottomLeft" activeCell="N16" sqref="N16"/>
      <selection pane="bottomRight" activeCell="N175" sqref="N175"/>
    </sheetView>
  </sheetViews>
  <sheetFormatPr defaultColWidth="8.7265625" defaultRowHeight="14.5"/>
  <cols>
    <col min="1" max="1" width="3.7265625" style="282" customWidth="1"/>
    <col min="2" max="2" width="6.26953125" style="282" customWidth="1"/>
    <col min="3" max="3" width="8.1796875" style="282" customWidth="1"/>
    <col min="4" max="4" width="3.7265625" style="282" customWidth="1"/>
    <col min="5" max="5" width="7.36328125" style="282" customWidth="1"/>
    <col min="6" max="6" width="4.26953125" style="282" customWidth="1"/>
    <col min="7" max="8" width="3.7265625" style="282" customWidth="1"/>
    <col min="9" max="9" width="4.26953125" style="282" customWidth="1"/>
    <col min="10" max="10" width="4.1796875" style="282" customWidth="1"/>
    <col min="11" max="11" width="5.54296875" style="282" customWidth="1"/>
    <col min="12" max="12" width="5.1796875" style="282" customWidth="1"/>
    <col min="13" max="13" width="3.7265625" style="282" customWidth="1"/>
    <col min="14" max="14" width="68.36328125" style="282" customWidth="1"/>
    <col min="15" max="15" width="25.36328125" style="282" customWidth="1"/>
    <col min="16" max="16" width="26.26953125" style="282" customWidth="1"/>
    <col min="17" max="17" width="24.7265625" style="282" customWidth="1"/>
    <col min="18" max="18" width="28.81640625" style="282" customWidth="1"/>
    <col min="19" max="19" width="27.1796875" style="282" customWidth="1"/>
    <col min="20" max="20" width="24.54296875" style="282" customWidth="1"/>
    <col min="21" max="21" width="26.36328125" style="282" customWidth="1"/>
    <col min="22" max="22" width="26.81640625" style="282" customWidth="1"/>
    <col min="23" max="23" width="24" style="282" customWidth="1"/>
    <col min="24" max="24" width="24.7265625" style="282" customWidth="1"/>
    <col min="25" max="25" width="17.81640625" style="282" customWidth="1"/>
    <col min="26" max="28" width="8.7265625" style="282"/>
    <col min="29" max="29" width="25" style="282" customWidth="1"/>
    <col min="30" max="30" width="8.7265625" style="282"/>
    <col min="31" max="31" width="24.36328125" style="282" bestFit="1" customWidth="1"/>
    <col min="32" max="16384" width="8.7265625" style="282"/>
  </cols>
  <sheetData>
    <row r="1" spans="1:25" s="281" customFormat="1" ht="30.75" customHeight="1">
      <c r="A1" s="835" t="s">
        <v>321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  <c r="Q1" s="835"/>
      <c r="R1" s="835"/>
      <c r="S1" s="835"/>
      <c r="T1" s="835"/>
      <c r="U1" s="835"/>
      <c r="V1" s="835"/>
      <c r="W1" s="835"/>
      <c r="X1" s="835"/>
      <c r="Y1" s="835"/>
    </row>
    <row r="2" spans="1:25" s="281" customFormat="1" ht="30.75" customHeight="1">
      <c r="A2" s="835" t="s">
        <v>322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  <c r="R2" s="835"/>
      <c r="S2" s="835"/>
      <c r="T2" s="835"/>
      <c r="U2" s="835"/>
      <c r="V2" s="835"/>
      <c r="W2" s="835"/>
      <c r="X2" s="835"/>
      <c r="Y2" s="835"/>
    </row>
    <row r="3" spans="1:25" s="281" customFormat="1" ht="30.75" customHeight="1">
      <c r="A3" s="836" t="s">
        <v>323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6"/>
      <c r="U3" s="836"/>
      <c r="V3" s="836"/>
      <c r="W3" s="836"/>
      <c r="X3" s="836"/>
      <c r="Y3" s="836"/>
    </row>
    <row r="4" spans="1:25">
      <c r="O4" s="283">
        <f>N4-N5</f>
        <v>0</v>
      </c>
      <c r="T4" s="283"/>
      <c r="V4" s="283"/>
      <c r="W4" s="283"/>
      <c r="Y4" s="283"/>
    </row>
    <row r="5" spans="1:25" ht="15" customHeight="1">
      <c r="N5" s="283"/>
    </row>
    <row r="6" spans="1:25" s="284" customFormat="1" ht="15" customHeight="1">
      <c r="A6" s="837" t="s">
        <v>324</v>
      </c>
      <c r="B6" s="837"/>
      <c r="C6" s="837"/>
      <c r="D6" s="837"/>
      <c r="E6" s="837"/>
      <c r="F6" s="837"/>
      <c r="G6" s="837"/>
      <c r="H6" s="837"/>
      <c r="I6" s="837"/>
      <c r="J6" s="837"/>
      <c r="K6" s="837"/>
      <c r="L6" s="837"/>
      <c r="M6" s="837"/>
      <c r="N6" s="837" t="s">
        <v>325</v>
      </c>
      <c r="O6" s="837" t="s">
        <v>326</v>
      </c>
      <c r="P6" s="839" t="s">
        <v>327</v>
      </c>
      <c r="Q6" s="840"/>
      <c r="R6" s="841"/>
      <c r="S6" s="848" t="s">
        <v>328</v>
      </c>
      <c r="T6" s="849"/>
      <c r="U6" s="850"/>
      <c r="V6" s="838" t="s">
        <v>329</v>
      </c>
      <c r="W6" s="859" t="s">
        <v>330</v>
      </c>
      <c r="X6" s="861" t="s">
        <v>331</v>
      </c>
      <c r="Y6" s="838" t="s">
        <v>332</v>
      </c>
    </row>
    <row r="7" spans="1:25" s="284" customFormat="1" ht="15" customHeight="1">
      <c r="A7" s="837"/>
      <c r="B7" s="837"/>
      <c r="C7" s="837"/>
      <c r="D7" s="837"/>
      <c r="E7" s="837"/>
      <c r="F7" s="837"/>
      <c r="G7" s="837"/>
      <c r="H7" s="837"/>
      <c r="I7" s="837"/>
      <c r="J7" s="837"/>
      <c r="K7" s="837"/>
      <c r="L7" s="837"/>
      <c r="M7" s="837"/>
      <c r="N7" s="837"/>
      <c r="O7" s="837"/>
      <c r="P7" s="842"/>
      <c r="Q7" s="843"/>
      <c r="R7" s="844"/>
      <c r="S7" s="851"/>
      <c r="T7" s="852"/>
      <c r="U7" s="853"/>
      <c r="V7" s="857"/>
      <c r="W7" s="860"/>
      <c r="X7" s="862"/>
      <c r="Y7" s="857"/>
    </row>
    <row r="8" spans="1:25" s="284" customFormat="1" ht="15" customHeight="1">
      <c r="A8" s="837"/>
      <c r="B8" s="837"/>
      <c r="C8" s="837"/>
      <c r="D8" s="837"/>
      <c r="E8" s="837"/>
      <c r="F8" s="837"/>
      <c r="G8" s="837"/>
      <c r="H8" s="837"/>
      <c r="I8" s="837"/>
      <c r="J8" s="837"/>
      <c r="K8" s="837"/>
      <c r="L8" s="837"/>
      <c r="M8" s="837"/>
      <c r="N8" s="837"/>
      <c r="O8" s="837"/>
      <c r="P8" s="842"/>
      <c r="Q8" s="843"/>
      <c r="R8" s="844"/>
      <c r="S8" s="851"/>
      <c r="T8" s="852"/>
      <c r="U8" s="853"/>
      <c r="V8" s="857"/>
      <c r="W8" s="860"/>
      <c r="X8" s="862"/>
      <c r="Y8" s="857"/>
    </row>
    <row r="9" spans="1:25" s="284" customFormat="1" ht="15" customHeight="1">
      <c r="A9" s="837"/>
      <c r="B9" s="837"/>
      <c r="C9" s="837"/>
      <c r="D9" s="837"/>
      <c r="E9" s="837"/>
      <c r="F9" s="837"/>
      <c r="G9" s="837"/>
      <c r="H9" s="837"/>
      <c r="I9" s="837"/>
      <c r="J9" s="837"/>
      <c r="K9" s="837"/>
      <c r="L9" s="837"/>
      <c r="M9" s="837"/>
      <c r="N9" s="837"/>
      <c r="O9" s="837"/>
      <c r="P9" s="845"/>
      <c r="Q9" s="846"/>
      <c r="R9" s="847"/>
      <c r="S9" s="854"/>
      <c r="T9" s="855"/>
      <c r="U9" s="856"/>
      <c r="V9" s="858"/>
      <c r="W9" s="860"/>
      <c r="X9" s="862"/>
      <c r="Y9" s="857"/>
    </row>
    <row r="10" spans="1:25" s="284" customFormat="1" ht="15" customHeight="1">
      <c r="A10" s="837"/>
      <c r="B10" s="837"/>
      <c r="C10" s="837"/>
      <c r="D10" s="837"/>
      <c r="E10" s="837"/>
      <c r="F10" s="837"/>
      <c r="G10" s="837"/>
      <c r="H10" s="837"/>
      <c r="I10" s="837"/>
      <c r="J10" s="837"/>
      <c r="K10" s="837"/>
      <c r="L10" s="837"/>
      <c r="M10" s="837"/>
      <c r="N10" s="837"/>
      <c r="O10" s="837"/>
      <c r="P10" s="838" t="s">
        <v>333</v>
      </c>
      <c r="Q10" s="838" t="s">
        <v>334</v>
      </c>
      <c r="R10" s="838" t="s">
        <v>335</v>
      </c>
      <c r="S10" s="838" t="s">
        <v>333</v>
      </c>
      <c r="T10" s="838" t="s">
        <v>334</v>
      </c>
      <c r="U10" s="838" t="s">
        <v>335</v>
      </c>
      <c r="V10" s="838" t="s">
        <v>335</v>
      </c>
      <c r="W10" s="860"/>
      <c r="X10" s="862"/>
      <c r="Y10" s="858"/>
    </row>
    <row r="11" spans="1:25" s="284" customFormat="1" ht="15" customHeight="1">
      <c r="A11" s="837"/>
      <c r="B11" s="837"/>
      <c r="C11" s="837"/>
      <c r="D11" s="837"/>
      <c r="E11" s="837"/>
      <c r="F11" s="837"/>
      <c r="G11" s="837"/>
      <c r="H11" s="837"/>
      <c r="I11" s="837"/>
      <c r="J11" s="837"/>
      <c r="K11" s="837"/>
      <c r="L11" s="837"/>
      <c r="M11" s="837"/>
      <c r="N11" s="837"/>
      <c r="O11" s="837"/>
      <c r="P11" s="857"/>
      <c r="Q11" s="857"/>
      <c r="R11" s="857"/>
      <c r="S11" s="857"/>
      <c r="T11" s="857"/>
      <c r="U11" s="857"/>
      <c r="V11" s="857"/>
      <c r="W11" s="860"/>
      <c r="X11" s="862"/>
      <c r="Y11" s="837" t="s">
        <v>335</v>
      </c>
    </row>
    <row r="12" spans="1:25" s="284" customFormat="1" ht="15" customHeight="1">
      <c r="A12" s="837"/>
      <c r="B12" s="837"/>
      <c r="C12" s="837"/>
      <c r="D12" s="837"/>
      <c r="E12" s="837"/>
      <c r="F12" s="837"/>
      <c r="G12" s="837"/>
      <c r="H12" s="837"/>
      <c r="I12" s="837"/>
      <c r="J12" s="837"/>
      <c r="K12" s="837"/>
      <c r="L12" s="837"/>
      <c r="M12" s="837"/>
      <c r="N12" s="837"/>
      <c r="O12" s="837"/>
      <c r="P12" s="857"/>
      <c r="Q12" s="857"/>
      <c r="R12" s="857"/>
      <c r="S12" s="857"/>
      <c r="T12" s="857"/>
      <c r="U12" s="857"/>
      <c r="V12" s="857"/>
      <c r="W12" s="860"/>
      <c r="X12" s="862"/>
      <c r="Y12" s="837"/>
    </row>
    <row r="13" spans="1:25" s="284" customFormat="1" ht="15.75" customHeight="1">
      <c r="A13" s="838"/>
      <c r="B13" s="838"/>
      <c r="C13" s="838"/>
      <c r="D13" s="838"/>
      <c r="E13" s="838"/>
      <c r="F13" s="838"/>
      <c r="G13" s="838"/>
      <c r="H13" s="838"/>
      <c r="I13" s="838"/>
      <c r="J13" s="838"/>
      <c r="K13" s="838"/>
      <c r="L13" s="838"/>
      <c r="M13" s="838"/>
      <c r="N13" s="838"/>
      <c r="O13" s="838"/>
      <c r="P13" s="857"/>
      <c r="Q13" s="857"/>
      <c r="R13" s="857"/>
      <c r="S13" s="857"/>
      <c r="T13" s="857"/>
      <c r="U13" s="857"/>
      <c r="V13" s="857"/>
      <c r="W13" s="860"/>
      <c r="X13" s="862"/>
      <c r="Y13" s="838"/>
    </row>
    <row r="14" spans="1:25" s="288" customFormat="1" ht="43.5" customHeight="1">
      <c r="A14" s="838" t="s">
        <v>336</v>
      </c>
      <c r="B14" s="838"/>
      <c r="C14" s="838"/>
      <c r="D14" s="838"/>
      <c r="E14" s="838"/>
      <c r="F14" s="838"/>
      <c r="G14" s="838"/>
      <c r="H14" s="838"/>
      <c r="I14" s="838"/>
      <c r="J14" s="838"/>
      <c r="K14" s="838"/>
      <c r="L14" s="838"/>
      <c r="M14" s="838"/>
      <c r="N14" s="285">
        <v>2</v>
      </c>
      <c r="O14" s="285" t="s">
        <v>337</v>
      </c>
      <c r="P14" s="285" t="s">
        <v>338</v>
      </c>
      <c r="Q14" s="285" t="s">
        <v>339</v>
      </c>
      <c r="R14" s="285" t="s">
        <v>340</v>
      </c>
      <c r="S14" s="285" t="s">
        <v>341</v>
      </c>
      <c r="T14" s="285" t="s">
        <v>342</v>
      </c>
      <c r="U14" s="285" t="s">
        <v>343</v>
      </c>
      <c r="V14" s="286" t="s">
        <v>344</v>
      </c>
      <c r="W14" s="286" t="s">
        <v>345</v>
      </c>
      <c r="X14" s="286" t="s">
        <v>346</v>
      </c>
      <c r="Y14" s="287" t="s">
        <v>347</v>
      </c>
    </row>
    <row r="15" spans="1:25" s="284" customFormat="1" ht="25" customHeight="1">
      <c r="A15" s="289" t="s">
        <v>341</v>
      </c>
      <c r="B15" s="290" t="s">
        <v>348</v>
      </c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2"/>
      <c r="N15" s="293" t="s">
        <v>349</v>
      </c>
      <c r="O15" s="294">
        <f>O17+O150+O207+O274+O289</f>
        <v>19003336695</v>
      </c>
      <c r="P15" s="295">
        <f>P17+P150+P207+P274+P289</f>
        <v>16233693061</v>
      </c>
      <c r="Q15" s="295">
        <f>Q16+Q17+Q150+Q207+Q274+Q289</f>
        <v>2359463294</v>
      </c>
      <c r="R15" s="296">
        <f>P15+Q15</f>
        <v>18593156355</v>
      </c>
      <c r="S15" s="297">
        <f>S17+S150+S207+S274+S289</f>
        <v>15756177524</v>
      </c>
      <c r="T15" s="297">
        <f>T17+T150+T207+T274+T289</f>
        <v>2548278731</v>
      </c>
      <c r="U15" s="296">
        <f>S15+T15</f>
        <v>18304456255</v>
      </c>
      <c r="V15" s="296">
        <f>O15-U15</f>
        <v>698880440</v>
      </c>
      <c r="W15" s="296">
        <f>W17</f>
        <v>7189005</v>
      </c>
      <c r="X15" s="296">
        <f>R15-W15-U15</f>
        <v>281511095</v>
      </c>
      <c r="Y15" s="298">
        <f>U15/O15*100%</f>
        <v>0.96322327751084458</v>
      </c>
    </row>
    <row r="16" spans="1:25" s="288" customFormat="1" ht="21" customHeight="1">
      <c r="A16" s="299"/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1"/>
      <c r="N16" s="302"/>
      <c r="O16" s="303"/>
      <c r="P16" s="304"/>
      <c r="Q16" s="304"/>
      <c r="R16" s="305"/>
      <c r="S16" s="306"/>
      <c r="T16" s="306"/>
      <c r="U16" s="305"/>
      <c r="V16" s="305"/>
      <c r="W16" s="305"/>
      <c r="X16" s="305"/>
      <c r="Y16" s="307"/>
    </row>
    <row r="17" spans="1:31" s="284" customFormat="1" ht="54.75" customHeight="1">
      <c r="A17" s="308">
        <v>7</v>
      </c>
      <c r="B17" s="309" t="s">
        <v>348</v>
      </c>
      <c r="C17" s="309" t="s">
        <v>348</v>
      </c>
      <c r="D17" s="310"/>
      <c r="E17" s="310"/>
      <c r="F17" s="310"/>
      <c r="G17" s="310"/>
      <c r="H17" s="310"/>
      <c r="I17" s="310"/>
      <c r="J17" s="310"/>
      <c r="K17" s="310"/>
      <c r="L17" s="310"/>
      <c r="M17" s="311"/>
      <c r="N17" s="312" t="s">
        <v>104</v>
      </c>
      <c r="O17" s="313">
        <f>O19+O38+O75+O88+O115</f>
        <v>11955260795</v>
      </c>
      <c r="P17" s="314">
        <f>P18+P19+P38+P75+P88+P115</f>
        <v>10865796801</v>
      </c>
      <c r="Q17" s="314">
        <f>Q18+Q19+Q38+Q75+Q88+Q115</f>
        <v>1348903902</v>
      </c>
      <c r="R17" s="315">
        <f>P17+Q17</f>
        <v>12214700703</v>
      </c>
      <c r="S17" s="314">
        <f>S19+S38+S75+S88+S115</f>
        <v>10184197783</v>
      </c>
      <c r="T17" s="314">
        <f>T19+T38+T75+T88+T115</f>
        <v>1350339741</v>
      </c>
      <c r="U17" s="315">
        <f>S17+T17</f>
        <v>11534537524</v>
      </c>
      <c r="V17" s="315">
        <f>O17-U17</f>
        <v>420723271</v>
      </c>
      <c r="W17" s="316">
        <f>W19</f>
        <v>7189005</v>
      </c>
      <c r="X17" s="316"/>
      <c r="Y17" s="317">
        <f t="shared" ref="Y17:Y90" si="0">U17/O17*100%</f>
        <v>0.96480852419581198</v>
      </c>
      <c r="AC17" s="318">
        <f>X15</f>
        <v>281511095</v>
      </c>
    </row>
    <row r="18" spans="1:31" s="284" customFormat="1" ht="18" customHeight="1">
      <c r="A18" s="319"/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1"/>
      <c r="N18" s="302"/>
      <c r="O18" s="322"/>
      <c r="P18" s="323"/>
      <c r="Q18" s="323"/>
      <c r="R18" s="305"/>
      <c r="S18" s="323"/>
      <c r="T18" s="323"/>
      <c r="U18" s="305"/>
      <c r="V18" s="305"/>
      <c r="W18" s="305"/>
      <c r="X18" s="305"/>
      <c r="Y18" s="307"/>
    </row>
    <row r="19" spans="1:31" s="284" customFormat="1" ht="42.75" customHeight="1">
      <c r="A19" s="324">
        <v>7</v>
      </c>
      <c r="B19" s="325" t="s">
        <v>348</v>
      </c>
      <c r="C19" s="325" t="s">
        <v>348</v>
      </c>
      <c r="D19" s="326">
        <v>2</v>
      </c>
      <c r="E19" s="325" t="s">
        <v>350</v>
      </c>
      <c r="F19" s="326"/>
      <c r="G19" s="326"/>
      <c r="H19" s="326"/>
      <c r="I19" s="326"/>
      <c r="J19" s="326"/>
      <c r="K19" s="326"/>
      <c r="L19" s="326"/>
      <c r="M19" s="327"/>
      <c r="N19" s="328" t="s">
        <v>351</v>
      </c>
      <c r="O19" s="329">
        <f>O21</f>
        <v>9852691312</v>
      </c>
      <c r="P19" s="330">
        <f>P21</f>
        <v>8586635993</v>
      </c>
      <c r="Q19" s="330">
        <f>Q21</f>
        <v>1073191969</v>
      </c>
      <c r="R19" s="330">
        <f t="shared" ref="R19:R90" si="1">P19+Q19</f>
        <v>9659827962</v>
      </c>
      <c r="S19" s="330">
        <f>S21</f>
        <v>8580075771</v>
      </c>
      <c r="T19" s="330">
        <f>T21</f>
        <v>1072563186</v>
      </c>
      <c r="U19" s="330">
        <f t="shared" ref="U19:U90" si="2">S19+T19</f>
        <v>9652638957</v>
      </c>
      <c r="V19" s="330">
        <f t="shared" ref="V19:V90" si="3">O19-U19</f>
        <v>200052355</v>
      </c>
      <c r="W19" s="330">
        <f>R19-U19</f>
        <v>7189005</v>
      </c>
      <c r="X19" s="330"/>
      <c r="Y19" s="331">
        <f t="shared" si="0"/>
        <v>0.97969566399016805</v>
      </c>
      <c r="AC19" s="284">
        <v>279197444</v>
      </c>
      <c r="AE19" s="318">
        <f>X15</f>
        <v>281511095</v>
      </c>
    </row>
    <row r="20" spans="1:31" s="284" customFormat="1" ht="18" customHeight="1">
      <c r="A20" s="332"/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4"/>
      <c r="N20" s="335"/>
      <c r="O20" s="336"/>
      <c r="P20" s="337"/>
      <c r="Q20" s="337"/>
      <c r="R20" s="305"/>
      <c r="S20" s="337"/>
      <c r="T20" s="337"/>
      <c r="U20" s="305"/>
      <c r="V20" s="305"/>
      <c r="W20" s="305"/>
      <c r="X20" s="305"/>
      <c r="Y20" s="307"/>
      <c r="AE20" s="318">
        <f>'[8]SPJ FUNGSIONAL '!Y396</f>
        <v>0</v>
      </c>
    </row>
    <row r="21" spans="1:31" s="284" customFormat="1" ht="31.5" customHeight="1">
      <c r="A21" s="338">
        <v>7</v>
      </c>
      <c r="B21" s="339" t="s">
        <v>348</v>
      </c>
      <c r="C21" s="339" t="s">
        <v>348</v>
      </c>
      <c r="D21" s="340">
        <v>2</v>
      </c>
      <c r="E21" s="339" t="s">
        <v>350</v>
      </c>
      <c r="F21" s="339" t="s">
        <v>348</v>
      </c>
      <c r="G21" s="340"/>
      <c r="H21" s="340"/>
      <c r="I21" s="340"/>
      <c r="J21" s="340"/>
      <c r="K21" s="340"/>
      <c r="L21" s="340"/>
      <c r="M21" s="341"/>
      <c r="N21" s="342" t="s">
        <v>107</v>
      </c>
      <c r="O21" s="343">
        <f>O22</f>
        <v>9852691312</v>
      </c>
      <c r="P21" s="344">
        <f>P22</f>
        <v>8586635993</v>
      </c>
      <c r="Q21" s="344">
        <f>Q22</f>
        <v>1073191969</v>
      </c>
      <c r="R21" s="344">
        <f t="shared" si="1"/>
        <v>9659827962</v>
      </c>
      <c r="S21" s="344">
        <f>S22</f>
        <v>8580075771</v>
      </c>
      <c r="T21" s="344">
        <f>T22</f>
        <v>1072563186</v>
      </c>
      <c r="U21" s="344">
        <f>S21+T21</f>
        <v>9652638957</v>
      </c>
      <c r="V21" s="344">
        <f t="shared" si="3"/>
        <v>200052355</v>
      </c>
      <c r="W21" s="344">
        <f>R21-U21</f>
        <v>7189005</v>
      </c>
      <c r="X21" s="344"/>
      <c r="Y21" s="345">
        <f t="shared" si="0"/>
        <v>0.97969566399016805</v>
      </c>
      <c r="AC21" s="318">
        <f>AC17-AC19</f>
        <v>2313651</v>
      </c>
      <c r="AE21" s="318">
        <f>AE19-AE20</f>
        <v>281511095</v>
      </c>
    </row>
    <row r="22" spans="1:31" s="284" customFormat="1" ht="36.75" customHeight="1">
      <c r="A22" s="332">
        <v>7</v>
      </c>
      <c r="B22" s="346" t="s">
        <v>348</v>
      </c>
      <c r="C22" s="346" t="s">
        <v>348</v>
      </c>
      <c r="D22" s="333">
        <v>2</v>
      </c>
      <c r="E22" s="346" t="s">
        <v>350</v>
      </c>
      <c r="F22" s="346" t="s">
        <v>348</v>
      </c>
      <c r="G22" s="346" t="s">
        <v>339</v>
      </c>
      <c r="H22" s="346" t="s">
        <v>336</v>
      </c>
      <c r="I22" s="333"/>
      <c r="J22" s="333"/>
      <c r="K22" s="333"/>
      <c r="L22" s="333"/>
      <c r="M22" s="334"/>
      <c r="N22" s="335" t="s">
        <v>352</v>
      </c>
      <c r="O22" s="336">
        <f>O23+O34</f>
        <v>9852691312</v>
      </c>
      <c r="P22" s="337">
        <f>P23+P34</f>
        <v>8586635993</v>
      </c>
      <c r="Q22" s="337">
        <f>Q23+Q34</f>
        <v>1073191969</v>
      </c>
      <c r="R22" s="305">
        <f t="shared" si="1"/>
        <v>9659827962</v>
      </c>
      <c r="S22" s="337">
        <f>S23+S34</f>
        <v>8580075771</v>
      </c>
      <c r="T22" s="337">
        <f>T23+T34</f>
        <v>1072563186</v>
      </c>
      <c r="U22" s="305">
        <f t="shared" si="2"/>
        <v>9652638957</v>
      </c>
      <c r="V22" s="305">
        <f t="shared" si="3"/>
        <v>200052355</v>
      </c>
      <c r="W22" s="305">
        <f t="shared" ref="W22:W23" si="4">R22-U22</f>
        <v>7189005</v>
      </c>
      <c r="X22" s="305">
        <v>0</v>
      </c>
      <c r="Y22" s="307">
        <f t="shared" si="0"/>
        <v>0.97969566399016805</v>
      </c>
    </row>
    <row r="23" spans="1:31" s="284" customFormat="1" ht="36.75" customHeight="1">
      <c r="A23" s="332">
        <v>7</v>
      </c>
      <c r="B23" s="346" t="s">
        <v>348</v>
      </c>
      <c r="C23" s="346" t="s">
        <v>348</v>
      </c>
      <c r="D23" s="333">
        <v>2</v>
      </c>
      <c r="E23" s="346" t="s">
        <v>350</v>
      </c>
      <c r="F23" s="346" t="s">
        <v>348</v>
      </c>
      <c r="G23" s="346" t="s">
        <v>339</v>
      </c>
      <c r="H23" s="346" t="s">
        <v>336</v>
      </c>
      <c r="I23" s="346" t="s">
        <v>348</v>
      </c>
      <c r="J23" s="346" t="s">
        <v>348</v>
      </c>
      <c r="K23" s="333"/>
      <c r="L23" s="333"/>
      <c r="M23" s="334"/>
      <c r="N23" s="335" t="s">
        <v>353</v>
      </c>
      <c r="O23" s="336">
        <f>SUM(O24:O33)</f>
        <v>5322691312</v>
      </c>
      <c r="P23" s="337">
        <f>SUM(P24:P33)</f>
        <v>4828727553</v>
      </c>
      <c r="Q23" s="337">
        <f>SUM(Q24:Q33)</f>
        <v>396943234</v>
      </c>
      <c r="R23" s="305">
        <f t="shared" si="1"/>
        <v>5225670787</v>
      </c>
      <c r="S23" s="337">
        <f>SUM(S24:S33)</f>
        <v>4822167331</v>
      </c>
      <c r="T23" s="337">
        <f>SUM(T24:T33)</f>
        <v>396314451</v>
      </c>
      <c r="U23" s="305">
        <f t="shared" si="2"/>
        <v>5218481782</v>
      </c>
      <c r="V23" s="305">
        <f t="shared" si="3"/>
        <v>104209530</v>
      </c>
      <c r="W23" s="305">
        <f t="shared" si="4"/>
        <v>7189005</v>
      </c>
      <c r="X23" s="305">
        <v>0</v>
      </c>
      <c r="Y23" s="307">
        <f t="shared" si="0"/>
        <v>0.98042164689035038</v>
      </c>
      <c r="AE23" s="318"/>
    </row>
    <row r="24" spans="1:31" s="284" customFormat="1" ht="36.75" customHeight="1">
      <c r="A24" s="347">
        <v>7</v>
      </c>
      <c r="B24" s="348" t="s">
        <v>348</v>
      </c>
      <c r="C24" s="348" t="s">
        <v>348</v>
      </c>
      <c r="D24" s="349">
        <v>2</v>
      </c>
      <c r="E24" s="348" t="s">
        <v>350</v>
      </c>
      <c r="F24" s="348" t="s">
        <v>348</v>
      </c>
      <c r="G24" s="349">
        <v>5</v>
      </c>
      <c r="H24" s="349">
        <v>1</v>
      </c>
      <c r="I24" s="348" t="s">
        <v>348</v>
      </c>
      <c r="J24" s="348" t="s">
        <v>348</v>
      </c>
      <c r="K24" s="348" t="s">
        <v>348</v>
      </c>
      <c r="L24" s="348" t="s">
        <v>354</v>
      </c>
      <c r="M24" s="350">
        <v>1</v>
      </c>
      <c r="N24" s="351" t="s">
        <v>355</v>
      </c>
      <c r="O24" s="352">
        <f>'[8]SPJ FUNGSIONAL '!O30</f>
        <v>3890000000</v>
      </c>
      <c r="P24" s="353">
        <f>'[9]LRA SP2D'!$R$24</f>
        <v>3580556900</v>
      </c>
      <c r="Q24" s="353">
        <f>281404185</f>
        <v>281404185</v>
      </c>
      <c r="R24" s="353">
        <f t="shared" si="1"/>
        <v>3861961085</v>
      </c>
      <c r="S24" s="353">
        <f>'[8]SPJ FUNGSIONAL '!P30</f>
        <v>3580556900</v>
      </c>
      <c r="T24" s="353">
        <f>'[8]SPJ FUNGSIONAL '!Q30</f>
        <v>281404185</v>
      </c>
      <c r="U24" s="353">
        <f t="shared" si="2"/>
        <v>3861961085</v>
      </c>
      <c r="V24" s="353">
        <f t="shared" si="3"/>
        <v>28038915</v>
      </c>
      <c r="W24" s="353">
        <f>R24-U24</f>
        <v>0</v>
      </c>
      <c r="X24" s="353"/>
      <c r="Y24" s="354">
        <f t="shared" si="0"/>
        <v>0.99279205269922877</v>
      </c>
      <c r="AE24" s="355">
        <v>1059642899</v>
      </c>
    </row>
    <row r="25" spans="1:31" s="284" customFormat="1" ht="36.75" customHeight="1">
      <c r="A25" s="347">
        <v>7</v>
      </c>
      <c r="B25" s="348" t="s">
        <v>348</v>
      </c>
      <c r="C25" s="348" t="s">
        <v>348</v>
      </c>
      <c r="D25" s="349">
        <v>2</v>
      </c>
      <c r="E25" s="348" t="s">
        <v>350</v>
      </c>
      <c r="F25" s="348" t="s">
        <v>348</v>
      </c>
      <c r="G25" s="349">
        <v>5</v>
      </c>
      <c r="H25" s="349">
        <v>1</v>
      </c>
      <c r="I25" s="348" t="s">
        <v>348</v>
      </c>
      <c r="J25" s="348" t="s">
        <v>348</v>
      </c>
      <c r="K25" s="348" t="s">
        <v>350</v>
      </c>
      <c r="L25" s="348" t="s">
        <v>354</v>
      </c>
      <c r="M25" s="350">
        <v>1</v>
      </c>
      <c r="N25" s="356" t="s">
        <v>356</v>
      </c>
      <c r="O25" s="357">
        <f>'[8]SPJ FUNGSIONAL '!O31</f>
        <v>380000000</v>
      </c>
      <c r="P25" s="358">
        <f>'[9]LRA SP2D'!$R$25</f>
        <v>338701828</v>
      </c>
      <c r="Q25" s="353">
        <f>26773154</f>
        <v>26773154</v>
      </c>
      <c r="R25" s="358">
        <f t="shared" si="1"/>
        <v>365474982</v>
      </c>
      <c r="S25" s="358">
        <f>'[8]SPJ FUNGSIONAL '!P31</f>
        <v>333715534</v>
      </c>
      <c r="T25" s="358">
        <f>'[8]SPJ FUNGSIONAL '!Q31</f>
        <v>26251271</v>
      </c>
      <c r="U25" s="358">
        <f t="shared" si="2"/>
        <v>359966805</v>
      </c>
      <c r="V25" s="358">
        <f t="shared" si="3"/>
        <v>20033195</v>
      </c>
      <c r="W25" s="358">
        <f t="shared" ref="W25:W36" si="5">R25-U25</f>
        <v>5508177</v>
      </c>
      <c r="X25" s="358"/>
      <c r="Y25" s="359">
        <f t="shared" si="0"/>
        <v>0.94728106578947369</v>
      </c>
      <c r="Z25" s="360"/>
      <c r="AE25" s="318">
        <v>1455495222</v>
      </c>
    </row>
    <row r="26" spans="1:31" s="284" customFormat="1" ht="36.75" customHeight="1">
      <c r="A26" s="347">
        <v>7</v>
      </c>
      <c r="B26" s="348" t="s">
        <v>348</v>
      </c>
      <c r="C26" s="348" t="s">
        <v>348</v>
      </c>
      <c r="D26" s="349">
        <v>2</v>
      </c>
      <c r="E26" s="348" t="s">
        <v>350</v>
      </c>
      <c r="F26" s="348" t="s">
        <v>348</v>
      </c>
      <c r="G26" s="349">
        <v>5</v>
      </c>
      <c r="H26" s="349">
        <v>1</v>
      </c>
      <c r="I26" s="348" t="s">
        <v>348</v>
      </c>
      <c r="J26" s="348" t="s">
        <v>348</v>
      </c>
      <c r="K26" s="361" t="s">
        <v>357</v>
      </c>
      <c r="L26" s="348" t="s">
        <v>354</v>
      </c>
      <c r="M26" s="350">
        <v>1</v>
      </c>
      <c r="N26" s="356" t="s">
        <v>358</v>
      </c>
      <c r="O26" s="362">
        <f>'[8]SPJ FUNGSIONAL '!O32</f>
        <v>352651600</v>
      </c>
      <c r="P26" s="358">
        <f>'[9]LRA SP2D'!$R$26</f>
        <v>316030000</v>
      </c>
      <c r="Q26" s="358">
        <f>24450000</f>
        <v>24450000</v>
      </c>
      <c r="R26" s="358">
        <f t="shared" si="1"/>
        <v>340480000</v>
      </c>
      <c r="S26" s="358">
        <f>'[8]SPJ FUNGSIONAL '!P32</f>
        <v>316030000</v>
      </c>
      <c r="T26" s="358">
        <f>'[8]SPJ FUNGSIONAL '!Q32</f>
        <v>24450000</v>
      </c>
      <c r="U26" s="358">
        <f t="shared" si="2"/>
        <v>340480000</v>
      </c>
      <c r="V26" s="358">
        <f t="shared" si="3"/>
        <v>12171600</v>
      </c>
      <c r="W26" s="358">
        <f t="shared" si="5"/>
        <v>0</v>
      </c>
      <c r="X26" s="358">
        <v>0</v>
      </c>
      <c r="Y26" s="359">
        <f t="shared" si="0"/>
        <v>0.96548548198845541</v>
      </c>
      <c r="Z26" s="360"/>
    </row>
    <row r="27" spans="1:31" s="284" customFormat="1" ht="36.75" customHeight="1">
      <c r="A27" s="347">
        <v>7</v>
      </c>
      <c r="B27" s="348" t="s">
        <v>348</v>
      </c>
      <c r="C27" s="348" t="s">
        <v>348</v>
      </c>
      <c r="D27" s="349">
        <v>2</v>
      </c>
      <c r="E27" s="348" t="s">
        <v>350</v>
      </c>
      <c r="F27" s="348" t="s">
        <v>348</v>
      </c>
      <c r="G27" s="349">
        <v>5</v>
      </c>
      <c r="H27" s="349">
        <v>1</v>
      </c>
      <c r="I27" s="348" t="s">
        <v>348</v>
      </c>
      <c r="J27" s="348" t="s">
        <v>348</v>
      </c>
      <c r="K27" s="361" t="s">
        <v>359</v>
      </c>
      <c r="L27" s="348" t="s">
        <v>354</v>
      </c>
      <c r="M27" s="350">
        <v>1</v>
      </c>
      <c r="N27" s="356" t="s">
        <v>360</v>
      </c>
      <c r="O27" s="362">
        <f>'[8]SPJ FUNGSIONAL '!O33</f>
        <v>80000000</v>
      </c>
      <c r="P27" s="358">
        <f>'[9]LRA SP2D'!$R$27</f>
        <v>72190000</v>
      </c>
      <c r="Q27" s="358">
        <f>5335000</f>
        <v>5335000</v>
      </c>
      <c r="R27" s="358">
        <f t="shared" si="1"/>
        <v>77525000</v>
      </c>
      <c r="S27" s="358">
        <f>'[8]SPJ FUNGSIONAL '!P33</f>
        <v>72190000</v>
      </c>
      <c r="T27" s="358">
        <f>'[8]SPJ FUNGSIONAL '!Q33</f>
        <v>5335000</v>
      </c>
      <c r="U27" s="358">
        <f t="shared" si="2"/>
        <v>77525000</v>
      </c>
      <c r="V27" s="358">
        <f t="shared" si="3"/>
        <v>2475000</v>
      </c>
      <c r="W27" s="358">
        <f t="shared" si="5"/>
        <v>0</v>
      </c>
      <c r="X27" s="358"/>
      <c r="Y27" s="359">
        <f t="shared" si="0"/>
        <v>0.96906250000000005</v>
      </c>
      <c r="Z27" s="360"/>
      <c r="AE27" s="318">
        <f>SUM(AE24:AE26)</f>
        <v>2515138121</v>
      </c>
    </row>
    <row r="28" spans="1:31" s="284" customFormat="1" ht="36.75" customHeight="1">
      <c r="A28" s="347">
        <v>7</v>
      </c>
      <c r="B28" s="348" t="s">
        <v>348</v>
      </c>
      <c r="C28" s="348" t="s">
        <v>348</v>
      </c>
      <c r="D28" s="349">
        <v>2</v>
      </c>
      <c r="E28" s="348" t="s">
        <v>350</v>
      </c>
      <c r="F28" s="348" t="s">
        <v>348</v>
      </c>
      <c r="G28" s="349">
        <v>5</v>
      </c>
      <c r="H28" s="349">
        <v>1</v>
      </c>
      <c r="I28" s="348" t="s">
        <v>348</v>
      </c>
      <c r="J28" s="348" t="s">
        <v>348</v>
      </c>
      <c r="K28" s="361" t="s">
        <v>361</v>
      </c>
      <c r="L28" s="348" t="s">
        <v>354</v>
      </c>
      <c r="M28" s="350">
        <v>1</v>
      </c>
      <c r="N28" s="356" t="s">
        <v>362</v>
      </c>
      <c r="O28" s="362">
        <f>'[8]SPJ FUNGSIONAL '!O34</f>
        <v>235000000</v>
      </c>
      <c r="P28" s="358">
        <f>'[9]LRA SP2D'!$R$28</f>
        <v>209293800</v>
      </c>
      <c r="Q28" s="358">
        <v>16004820</v>
      </c>
      <c r="R28" s="358">
        <f t="shared" si="1"/>
        <v>225298620</v>
      </c>
      <c r="S28" s="358">
        <f>'[8]SPJ FUNGSIONAL '!P34</f>
        <v>207719872</v>
      </c>
      <c r="T28" s="358">
        <f>'[8]SPJ FUNGSIONAL '!Q34</f>
        <v>15898604</v>
      </c>
      <c r="U28" s="358">
        <f t="shared" si="2"/>
        <v>223618476</v>
      </c>
      <c r="V28" s="358">
        <f t="shared" si="3"/>
        <v>11381524</v>
      </c>
      <c r="W28" s="358">
        <f t="shared" si="5"/>
        <v>1680144</v>
      </c>
      <c r="X28" s="358"/>
      <c r="Y28" s="359">
        <f t="shared" si="0"/>
        <v>0.95156798297872336</v>
      </c>
      <c r="Z28" s="360"/>
    </row>
    <row r="29" spans="1:31" s="284" customFormat="1" ht="36.75" customHeight="1">
      <c r="A29" s="347">
        <v>7</v>
      </c>
      <c r="B29" s="348" t="s">
        <v>348</v>
      </c>
      <c r="C29" s="348" t="s">
        <v>348</v>
      </c>
      <c r="D29" s="349">
        <v>2</v>
      </c>
      <c r="E29" s="348" t="s">
        <v>350</v>
      </c>
      <c r="F29" s="348" t="s">
        <v>348</v>
      </c>
      <c r="G29" s="349">
        <v>5</v>
      </c>
      <c r="H29" s="349">
        <v>1</v>
      </c>
      <c r="I29" s="348" t="s">
        <v>348</v>
      </c>
      <c r="J29" s="348" t="s">
        <v>348</v>
      </c>
      <c r="K29" s="361" t="s">
        <v>363</v>
      </c>
      <c r="L29" s="348" t="s">
        <v>354</v>
      </c>
      <c r="M29" s="350">
        <v>1</v>
      </c>
      <c r="N29" s="351" t="s">
        <v>364</v>
      </c>
      <c r="O29" s="352">
        <f>'[8]SPJ FUNGSIONAL '!O35</f>
        <v>3000000</v>
      </c>
      <c r="P29" s="353">
        <f>'[9]LRA SP2D'!$R$29</f>
        <v>1412803</v>
      </c>
      <c r="Q29" s="353">
        <v>191771</v>
      </c>
      <c r="R29" s="353">
        <f t="shared" si="1"/>
        <v>1604574</v>
      </c>
      <c r="S29" s="353">
        <f>'[8]SPJ FUNGSIONAL '!P35</f>
        <v>1412803</v>
      </c>
      <c r="T29" s="353">
        <f>'[8]SPJ FUNGSIONAL '!Q35</f>
        <v>191771</v>
      </c>
      <c r="U29" s="353">
        <f t="shared" si="2"/>
        <v>1604574</v>
      </c>
      <c r="V29" s="353">
        <f t="shared" si="3"/>
        <v>1395426</v>
      </c>
      <c r="W29" s="353">
        <f t="shared" si="5"/>
        <v>0</v>
      </c>
      <c r="X29" s="353"/>
      <c r="Y29" s="354">
        <f t="shared" si="0"/>
        <v>0.53485799999999994</v>
      </c>
    </row>
    <row r="30" spans="1:31" s="284" customFormat="1" ht="36.75" customHeight="1">
      <c r="A30" s="347">
        <v>7</v>
      </c>
      <c r="B30" s="348" t="s">
        <v>348</v>
      </c>
      <c r="C30" s="348" t="s">
        <v>348</v>
      </c>
      <c r="D30" s="349">
        <v>2</v>
      </c>
      <c r="E30" s="348" t="s">
        <v>350</v>
      </c>
      <c r="F30" s="348" t="s">
        <v>348</v>
      </c>
      <c r="G30" s="349">
        <v>5</v>
      </c>
      <c r="H30" s="349">
        <v>1</v>
      </c>
      <c r="I30" s="348" t="s">
        <v>348</v>
      </c>
      <c r="J30" s="348" t="s">
        <v>348</v>
      </c>
      <c r="K30" s="361" t="s">
        <v>365</v>
      </c>
      <c r="L30" s="348" t="s">
        <v>354</v>
      </c>
      <c r="M30" s="350">
        <v>1</v>
      </c>
      <c r="N30" s="351" t="s">
        <v>366</v>
      </c>
      <c r="O30" s="352">
        <f>'[8]SPJ FUNGSIONAL '!O36</f>
        <v>60000</v>
      </c>
      <c r="P30" s="353">
        <f>'[9]LRA SP2D'!$R$30</f>
        <v>49093</v>
      </c>
      <c r="Q30" s="353">
        <v>4565</v>
      </c>
      <c r="R30" s="353">
        <f t="shared" si="1"/>
        <v>53658</v>
      </c>
      <c r="S30" s="353">
        <f>'[8]SPJ FUNGSIONAL '!P36</f>
        <v>49093</v>
      </c>
      <c r="T30" s="353">
        <f>'[8]SPJ FUNGSIONAL '!Q36</f>
        <v>3881</v>
      </c>
      <c r="U30" s="353">
        <f t="shared" si="2"/>
        <v>52974</v>
      </c>
      <c r="V30" s="353">
        <f t="shared" si="3"/>
        <v>7026</v>
      </c>
      <c r="W30" s="353">
        <f t="shared" si="5"/>
        <v>684</v>
      </c>
      <c r="X30" s="353"/>
      <c r="Y30" s="354">
        <f t="shared" si="0"/>
        <v>0.88290000000000002</v>
      </c>
    </row>
    <row r="31" spans="1:31" s="284" customFormat="1" ht="36.75" customHeight="1">
      <c r="A31" s="347">
        <v>7</v>
      </c>
      <c r="B31" s="348" t="s">
        <v>348</v>
      </c>
      <c r="C31" s="348" t="s">
        <v>348</v>
      </c>
      <c r="D31" s="349">
        <v>2</v>
      </c>
      <c r="E31" s="348" t="s">
        <v>350</v>
      </c>
      <c r="F31" s="348" t="s">
        <v>348</v>
      </c>
      <c r="G31" s="349">
        <v>5</v>
      </c>
      <c r="H31" s="349">
        <v>1</v>
      </c>
      <c r="I31" s="348" t="s">
        <v>348</v>
      </c>
      <c r="J31" s="348" t="s">
        <v>348</v>
      </c>
      <c r="K31" s="361" t="s">
        <v>367</v>
      </c>
      <c r="L31" s="348" t="s">
        <v>354</v>
      </c>
      <c r="M31" s="350">
        <v>1</v>
      </c>
      <c r="N31" s="351" t="s">
        <v>368</v>
      </c>
      <c r="O31" s="352">
        <f>'[8]SPJ FUNGSIONAL '!O37</f>
        <v>345000000</v>
      </c>
      <c r="P31" s="353">
        <f>'[9]LRA SP2D'!$R$31</f>
        <v>281421617</v>
      </c>
      <c r="Q31" s="353">
        <f>26767153+13368828</f>
        <v>40135981</v>
      </c>
      <c r="R31" s="353">
        <f t="shared" si="1"/>
        <v>321557598</v>
      </c>
      <c r="S31" s="353">
        <f>'[8]SPJ FUNGSIONAL '!P37</f>
        <v>281421617</v>
      </c>
      <c r="T31" s="353">
        <f>'[8]SPJ FUNGSIONAL '!Q37</f>
        <v>40135981</v>
      </c>
      <c r="U31" s="353">
        <f t="shared" si="2"/>
        <v>321557598</v>
      </c>
      <c r="V31" s="353">
        <f t="shared" si="3"/>
        <v>23442402</v>
      </c>
      <c r="W31" s="353">
        <f t="shared" si="5"/>
        <v>0</v>
      </c>
      <c r="X31" s="353"/>
      <c r="Y31" s="354">
        <f t="shared" si="0"/>
        <v>0.93205100869565216</v>
      </c>
      <c r="AE31" s="318">
        <f>X15</f>
        <v>281511095</v>
      </c>
    </row>
    <row r="32" spans="1:31" s="284" customFormat="1" ht="36.75" customHeight="1">
      <c r="A32" s="347">
        <v>7</v>
      </c>
      <c r="B32" s="348" t="s">
        <v>348</v>
      </c>
      <c r="C32" s="348" t="s">
        <v>348</v>
      </c>
      <c r="D32" s="349">
        <v>2</v>
      </c>
      <c r="E32" s="348" t="s">
        <v>350</v>
      </c>
      <c r="F32" s="348" t="s">
        <v>348</v>
      </c>
      <c r="G32" s="349">
        <v>5</v>
      </c>
      <c r="H32" s="349">
        <v>1</v>
      </c>
      <c r="I32" s="348" t="s">
        <v>348</v>
      </c>
      <c r="J32" s="348" t="s">
        <v>348</v>
      </c>
      <c r="K32" s="363">
        <v>10</v>
      </c>
      <c r="L32" s="348" t="s">
        <v>354</v>
      </c>
      <c r="M32" s="350">
        <v>1</v>
      </c>
      <c r="N32" s="351" t="s">
        <v>369</v>
      </c>
      <c r="O32" s="352">
        <f>'[8]SPJ FUNGSIONAL '!O38</f>
        <v>9244712</v>
      </c>
      <c r="P32" s="353">
        <f>'[9]LRA SP2D'!$R$32</f>
        <v>7267851</v>
      </c>
      <c r="Q32" s="353">
        <v>660940</v>
      </c>
      <c r="R32" s="353">
        <f t="shared" si="1"/>
        <v>7928791</v>
      </c>
      <c r="S32" s="353">
        <f>'[8]SPJ FUNGSIONAL '!P38</f>
        <v>7267851</v>
      </c>
      <c r="T32" s="353">
        <f>'[8]SPJ FUNGSIONAL '!Q38</f>
        <v>660940</v>
      </c>
      <c r="U32" s="353">
        <f t="shared" si="2"/>
        <v>7928791</v>
      </c>
      <c r="V32" s="353">
        <f t="shared" si="3"/>
        <v>1315921</v>
      </c>
      <c r="W32" s="353">
        <f t="shared" si="5"/>
        <v>0</v>
      </c>
      <c r="X32" s="353"/>
      <c r="Y32" s="354">
        <f t="shared" si="0"/>
        <v>0.85765689618021634</v>
      </c>
      <c r="AE32" s="284">
        <f>'[8]SPJ FUNGSIONAL '!Y396</f>
        <v>0</v>
      </c>
    </row>
    <row r="33" spans="1:31" s="284" customFormat="1" ht="36.75" customHeight="1">
      <c r="A33" s="347">
        <v>7</v>
      </c>
      <c r="B33" s="348" t="s">
        <v>348</v>
      </c>
      <c r="C33" s="348" t="s">
        <v>348</v>
      </c>
      <c r="D33" s="349">
        <v>2</v>
      </c>
      <c r="E33" s="348" t="s">
        <v>350</v>
      </c>
      <c r="F33" s="348" t="s">
        <v>348</v>
      </c>
      <c r="G33" s="349">
        <v>5</v>
      </c>
      <c r="H33" s="349">
        <v>1</v>
      </c>
      <c r="I33" s="348" t="s">
        <v>348</v>
      </c>
      <c r="J33" s="348" t="s">
        <v>348</v>
      </c>
      <c r="K33" s="361" t="s">
        <v>370</v>
      </c>
      <c r="L33" s="348" t="s">
        <v>354</v>
      </c>
      <c r="M33" s="350">
        <v>1</v>
      </c>
      <c r="N33" s="351" t="s">
        <v>371</v>
      </c>
      <c r="O33" s="352">
        <f>'[8]SPJ FUNGSIONAL '!O39</f>
        <v>27735000</v>
      </c>
      <c r="P33" s="353">
        <f>'[9]LRA SP2D'!$R$33</f>
        <v>21803661</v>
      </c>
      <c r="Q33" s="353">
        <v>1982818</v>
      </c>
      <c r="R33" s="353">
        <f t="shared" si="1"/>
        <v>23786479</v>
      </c>
      <c r="S33" s="353">
        <f>'[8]SPJ FUNGSIONAL '!P39</f>
        <v>21803661</v>
      </c>
      <c r="T33" s="353">
        <f>'[8]SPJ FUNGSIONAL '!Q39</f>
        <v>1982818</v>
      </c>
      <c r="U33" s="353">
        <f t="shared" si="2"/>
        <v>23786479</v>
      </c>
      <c r="V33" s="353">
        <f t="shared" si="3"/>
        <v>3948521</v>
      </c>
      <c r="W33" s="353">
        <f t="shared" si="5"/>
        <v>0</v>
      </c>
      <c r="X33" s="353"/>
      <c r="Y33" s="354">
        <f t="shared" si="0"/>
        <v>0.85763400036055526</v>
      </c>
      <c r="AE33" s="318">
        <f>AE31-AE32</f>
        <v>281511095</v>
      </c>
    </row>
    <row r="34" spans="1:31" s="284" customFormat="1" ht="36.75" customHeight="1">
      <c r="A34" s="332">
        <v>7</v>
      </c>
      <c r="B34" s="346" t="s">
        <v>348</v>
      </c>
      <c r="C34" s="346" t="s">
        <v>348</v>
      </c>
      <c r="D34" s="333">
        <v>2</v>
      </c>
      <c r="E34" s="346" t="s">
        <v>350</v>
      </c>
      <c r="F34" s="346" t="s">
        <v>348</v>
      </c>
      <c r="G34" s="333">
        <v>5</v>
      </c>
      <c r="H34" s="333">
        <v>1</v>
      </c>
      <c r="I34" s="346" t="s">
        <v>348</v>
      </c>
      <c r="J34" s="346" t="s">
        <v>350</v>
      </c>
      <c r="K34" s="333"/>
      <c r="L34" s="333"/>
      <c r="M34" s="334"/>
      <c r="N34" s="335" t="s">
        <v>372</v>
      </c>
      <c r="O34" s="336">
        <f t="shared" ref="O34:Q35" si="6">O35</f>
        <v>4530000000</v>
      </c>
      <c r="P34" s="337">
        <f t="shared" si="6"/>
        <v>3757908440</v>
      </c>
      <c r="Q34" s="337">
        <f t="shared" si="6"/>
        <v>676248735</v>
      </c>
      <c r="R34" s="305">
        <f t="shared" si="1"/>
        <v>4434157175</v>
      </c>
      <c r="S34" s="337">
        <f>S35</f>
        <v>3757908440</v>
      </c>
      <c r="T34" s="337">
        <f>T35</f>
        <v>676248735</v>
      </c>
      <c r="U34" s="305">
        <f t="shared" si="2"/>
        <v>4434157175</v>
      </c>
      <c r="V34" s="305">
        <f t="shared" si="3"/>
        <v>95842825</v>
      </c>
      <c r="W34" s="353">
        <f t="shared" si="5"/>
        <v>0</v>
      </c>
      <c r="X34" s="305"/>
      <c r="Y34" s="364">
        <f t="shared" si="0"/>
        <v>0.97884264348785877</v>
      </c>
    </row>
    <row r="35" spans="1:31" s="284" customFormat="1" ht="40.5" customHeight="1">
      <c r="A35" s="332">
        <v>7</v>
      </c>
      <c r="B35" s="346" t="s">
        <v>348</v>
      </c>
      <c r="C35" s="346" t="s">
        <v>348</v>
      </c>
      <c r="D35" s="333">
        <v>2</v>
      </c>
      <c r="E35" s="346" t="s">
        <v>350</v>
      </c>
      <c r="F35" s="346" t="s">
        <v>348</v>
      </c>
      <c r="G35" s="333">
        <v>5</v>
      </c>
      <c r="H35" s="333">
        <v>1</v>
      </c>
      <c r="I35" s="346" t="s">
        <v>348</v>
      </c>
      <c r="J35" s="346" t="s">
        <v>350</v>
      </c>
      <c r="K35" s="346" t="s">
        <v>348</v>
      </c>
      <c r="L35" s="333"/>
      <c r="M35" s="334"/>
      <c r="N35" s="365" t="s">
        <v>373</v>
      </c>
      <c r="O35" s="366">
        <f t="shared" si="6"/>
        <v>4530000000</v>
      </c>
      <c r="P35" s="305">
        <f t="shared" si="6"/>
        <v>3757908440</v>
      </c>
      <c r="Q35" s="305">
        <f t="shared" si="6"/>
        <v>676248735</v>
      </c>
      <c r="R35" s="305">
        <f t="shared" si="1"/>
        <v>4434157175</v>
      </c>
      <c r="S35" s="305">
        <f>S36</f>
        <v>3757908440</v>
      </c>
      <c r="T35" s="305">
        <f>T36</f>
        <v>676248735</v>
      </c>
      <c r="U35" s="305">
        <f t="shared" si="2"/>
        <v>4434157175</v>
      </c>
      <c r="V35" s="305">
        <f t="shared" si="3"/>
        <v>95842825</v>
      </c>
      <c r="W35" s="353">
        <f t="shared" si="5"/>
        <v>0</v>
      </c>
      <c r="X35" s="305"/>
      <c r="Y35" s="364">
        <f t="shared" si="0"/>
        <v>0.97884264348785877</v>
      </c>
    </row>
    <row r="36" spans="1:31" s="284" customFormat="1" ht="36.75" customHeight="1">
      <c r="A36" s="347">
        <v>7</v>
      </c>
      <c r="B36" s="348" t="s">
        <v>348</v>
      </c>
      <c r="C36" s="348" t="s">
        <v>348</v>
      </c>
      <c r="D36" s="349">
        <v>2</v>
      </c>
      <c r="E36" s="348" t="s">
        <v>350</v>
      </c>
      <c r="F36" s="348" t="s">
        <v>348</v>
      </c>
      <c r="G36" s="349">
        <v>5</v>
      </c>
      <c r="H36" s="349">
        <v>1</v>
      </c>
      <c r="I36" s="348" t="s">
        <v>348</v>
      </c>
      <c r="J36" s="348" t="s">
        <v>350</v>
      </c>
      <c r="K36" s="348" t="s">
        <v>348</v>
      </c>
      <c r="L36" s="348" t="s">
        <v>354</v>
      </c>
      <c r="M36" s="350">
        <v>1</v>
      </c>
      <c r="N36" s="367" t="s">
        <v>373</v>
      </c>
      <c r="O36" s="352">
        <f>'[8]SPJ FUNGSIONAL '!O42</f>
        <v>4530000000</v>
      </c>
      <c r="P36" s="353">
        <f>'[9]LRA SP2D'!$R$36</f>
        <v>3757908440</v>
      </c>
      <c r="Q36" s="353">
        <f>T36</f>
        <v>676248735</v>
      </c>
      <c r="R36" s="353">
        <f t="shared" si="1"/>
        <v>4434157175</v>
      </c>
      <c r="S36" s="353">
        <f>'[8]SPJ FUNGSIONAL '!P42</f>
        <v>3757908440</v>
      </c>
      <c r="T36" s="353">
        <f>'[8]SPJ FUNGSIONAL '!Q42</f>
        <v>676248735</v>
      </c>
      <c r="U36" s="353">
        <f t="shared" si="2"/>
        <v>4434157175</v>
      </c>
      <c r="V36" s="353">
        <f t="shared" si="3"/>
        <v>95842825</v>
      </c>
      <c r="W36" s="353">
        <f t="shared" si="5"/>
        <v>0</v>
      </c>
      <c r="X36" s="353"/>
      <c r="Y36" s="368">
        <f t="shared" si="0"/>
        <v>0.97884264348785877</v>
      </c>
    </row>
    <row r="37" spans="1:31" s="284" customFormat="1" ht="25" customHeight="1">
      <c r="A37" s="347"/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50"/>
      <c r="N37" s="367"/>
      <c r="O37" s="352"/>
      <c r="P37" s="369"/>
      <c r="Q37" s="369"/>
      <c r="R37" s="369"/>
      <c r="S37" s="369"/>
      <c r="T37" s="369"/>
      <c r="U37" s="369">
        <f t="shared" si="2"/>
        <v>0</v>
      </c>
      <c r="V37" s="369"/>
      <c r="W37" s="369"/>
      <c r="X37" s="369"/>
      <c r="Y37" s="354"/>
    </row>
    <row r="38" spans="1:31" s="284" customFormat="1" ht="48.75" customHeight="1">
      <c r="A38" s="324">
        <v>7</v>
      </c>
      <c r="B38" s="325" t="s">
        <v>348</v>
      </c>
      <c r="C38" s="325" t="s">
        <v>348</v>
      </c>
      <c r="D38" s="326">
        <v>2</v>
      </c>
      <c r="E38" s="325" t="s">
        <v>361</v>
      </c>
      <c r="F38" s="326"/>
      <c r="G38" s="326"/>
      <c r="H38" s="326"/>
      <c r="I38" s="326"/>
      <c r="J38" s="326"/>
      <c r="K38" s="326"/>
      <c r="L38" s="326"/>
      <c r="M38" s="327"/>
      <c r="N38" s="328" t="s">
        <v>374</v>
      </c>
      <c r="O38" s="329">
        <f>O40+O46+O60+O66</f>
        <v>511669850</v>
      </c>
      <c r="P38" s="329">
        <f>P39+P40+P46+P60+P66</f>
        <v>1083653593</v>
      </c>
      <c r="Q38" s="329">
        <f t="shared" ref="Q38:U38" si="7">Q40+Q46+Q60+Q66</f>
        <v>126598500</v>
      </c>
      <c r="R38" s="329">
        <f>R39+R40+R46+R60+R66</f>
        <v>1210252093</v>
      </c>
      <c r="S38" s="329">
        <f t="shared" si="7"/>
        <v>393152893</v>
      </c>
      <c r="T38" s="329">
        <f t="shared" si="7"/>
        <v>56250700</v>
      </c>
      <c r="U38" s="329">
        <f t="shared" si="7"/>
        <v>449403593</v>
      </c>
      <c r="V38" s="330">
        <f t="shared" si="3"/>
        <v>62266257</v>
      </c>
      <c r="W38" s="330"/>
      <c r="X38" s="330">
        <f>X40+X46+X60+X66</f>
        <v>-11151500</v>
      </c>
      <c r="Y38" s="331">
        <f t="shared" si="0"/>
        <v>0.87830774668470302</v>
      </c>
    </row>
    <row r="39" spans="1:31" s="284" customFormat="1" ht="30" customHeight="1">
      <c r="A39" s="332"/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4"/>
      <c r="N39" s="335" t="s">
        <v>375</v>
      </c>
      <c r="O39" s="336"/>
      <c r="P39" s="305">
        <v>772000000</v>
      </c>
      <c r="Q39" s="305"/>
      <c r="R39" s="305">
        <f>SUM(P39:Q39)</f>
        <v>772000000</v>
      </c>
      <c r="S39" s="305"/>
      <c r="T39" s="305"/>
      <c r="U39" s="305"/>
      <c r="V39" s="305"/>
      <c r="W39" s="305"/>
      <c r="X39" s="305"/>
      <c r="Y39" s="307"/>
    </row>
    <row r="40" spans="1:31" s="284" customFormat="1" ht="39.75" customHeight="1">
      <c r="A40" s="338">
        <v>7</v>
      </c>
      <c r="B40" s="339" t="s">
        <v>348</v>
      </c>
      <c r="C40" s="339" t="s">
        <v>348</v>
      </c>
      <c r="D40" s="340">
        <v>2</v>
      </c>
      <c r="E40" s="339" t="s">
        <v>361</v>
      </c>
      <c r="F40" s="339" t="s">
        <v>348</v>
      </c>
      <c r="G40" s="340"/>
      <c r="H40" s="340"/>
      <c r="I40" s="340"/>
      <c r="J40" s="340"/>
      <c r="K40" s="340"/>
      <c r="L40" s="340"/>
      <c r="M40" s="341"/>
      <c r="N40" s="370" t="s">
        <v>376</v>
      </c>
      <c r="O40" s="343">
        <f>O41</f>
        <v>32621700</v>
      </c>
      <c r="P40" s="344">
        <f t="shared" ref="P40:Q43" si="8">P41</f>
        <v>24395700</v>
      </c>
      <c r="Q40" s="344">
        <f t="shared" si="8"/>
        <v>6072800</v>
      </c>
      <c r="R40" s="344">
        <f t="shared" si="1"/>
        <v>30468500</v>
      </c>
      <c r="S40" s="344">
        <f t="shared" ref="S40:T43" si="9">S41</f>
        <v>28345700</v>
      </c>
      <c r="T40" s="344">
        <f t="shared" si="9"/>
        <v>3313800</v>
      </c>
      <c r="U40" s="344">
        <f t="shared" si="2"/>
        <v>31659500</v>
      </c>
      <c r="V40" s="344">
        <f t="shared" si="3"/>
        <v>962200</v>
      </c>
      <c r="W40" s="344"/>
      <c r="X40" s="344">
        <f t="shared" ref="X40:X103" si="10">R40-U40</f>
        <v>-1191000</v>
      </c>
      <c r="Y40" s="371">
        <f t="shared" si="0"/>
        <v>0.97050429622000078</v>
      </c>
    </row>
    <row r="41" spans="1:31" s="284" customFormat="1" ht="38.25" customHeight="1">
      <c r="A41" s="332">
        <v>7</v>
      </c>
      <c r="B41" s="346" t="s">
        <v>348</v>
      </c>
      <c r="C41" s="346" t="s">
        <v>348</v>
      </c>
      <c r="D41" s="333">
        <v>2</v>
      </c>
      <c r="E41" s="346" t="s">
        <v>361</v>
      </c>
      <c r="F41" s="346" t="s">
        <v>348</v>
      </c>
      <c r="G41" s="333">
        <v>5</v>
      </c>
      <c r="H41" s="333">
        <v>1</v>
      </c>
      <c r="I41" s="346" t="s">
        <v>350</v>
      </c>
      <c r="J41" s="333"/>
      <c r="K41" s="333"/>
      <c r="L41" s="333"/>
      <c r="M41" s="334"/>
      <c r="N41" s="372" t="s">
        <v>377</v>
      </c>
      <c r="O41" s="336">
        <f>O42</f>
        <v>32621700</v>
      </c>
      <c r="P41" s="337">
        <f t="shared" si="8"/>
        <v>24395700</v>
      </c>
      <c r="Q41" s="337">
        <f t="shared" si="8"/>
        <v>6072800</v>
      </c>
      <c r="R41" s="305">
        <f t="shared" si="1"/>
        <v>30468500</v>
      </c>
      <c r="S41" s="337">
        <f t="shared" si="9"/>
        <v>28345700</v>
      </c>
      <c r="T41" s="337">
        <f t="shared" si="9"/>
        <v>3313800</v>
      </c>
      <c r="U41" s="305">
        <f t="shared" si="2"/>
        <v>31659500</v>
      </c>
      <c r="V41" s="305">
        <f t="shared" si="3"/>
        <v>962200</v>
      </c>
      <c r="W41" s="305"/>
      <c r="X41" s="305">
        <f t="shared" si="10"/>
        <v>-1191000</v>
      </c>
      <c r="Y41" s="307">
        <f t="shared" si="0"/>
        <v>0.97050429622000078</v>
      </c>
    </row>
    <row r="42" spans="1:31" s="284" customFormat="1" ht="38.25" customHeight="1">
      <c r="A42" s="332">
        <v>7</v>
      </c>
      <c r="B42" s="346" t="s">
        <v>348</v>
      </c>
      <c r="C42" s="346" t="s">
        <v>348</v>
      </c>
      <c r="D42" s="333">
        <v>2</v>
      </c>
      <c r="E42" s="346" t="s">
        <v>361</v>
      </c>
      <c r="F42" s="346" t="s">
        <v>348</v>
      </c>
      <c r="G42" s="333">
        <v>5</v>
      </c>
      <c r="H42" s="333">
        <v>1</v>
      </c>
      <c r="I42" s="346" t="s">
        <v>350</v>
      </c>
      <c r="J42" s="346" t="s">
        <v>348</v>
      </c>
      <c r="K42" s="333"/>
      <c r="L42" s="333"/>
      <c r="M42" s="334"/>
      <c r="N42" s="372" t="s">
        <v>378</v>
      </c>
      <c r="O42" s="336">
        <f>O43</f>
        <v>32621700</v>
      </c>
      <c r="P42" s="337">
        <f t="shared" si="8"/>
        <v>24395700</v>
      </c>
      <c r="Q42" s="337">
        <f t="shared" si="8"/>
        <v>6072800</v>
      </c>
      <c r="R42" s="305">
        <f t="shared" si="1"/>
        <v>30468500</v>
      </c>
      <c r="S42" s="337">
        <f t="shared" si="9"/>
        <v>28345700</v>
      </c>
      <c r="T42" s="337">
        <f t="shared" si="9"/>
        <v>3313800</v>
      </c>
      <c r="U42" s="305">
        <f t="shared" si="2"/>
        <v>31659500</v>
      </c>
      <c r="V42" s="305">
        <f t="shared" si="3"/>
        <v>962200</v>
      </c>
      <c r="W42" s="305"/>
      <c r="X42" s="305">
        <f t="shared" si="10"/>
        <v>-1191000</v>
      </c>
      <c r="Y42" s="307">
        <f t="shared" si="0"/>
        <v>0.97050429622000078</v>
      </c>
    </row>
    <row r="43" spans="1:31" s="284" customFormat="1" ht="38.25" customHeight="1">
      <c r="A43" s="332">
        <v>7</v>
      </c>
      <c r="B43" s="346" t="s">
        <v>348</v>
      </c>
      <c r="C43" s="346" t="s">
        <v>348</v>
      </c>
      <c r="D43" s="333">
        <v>2</v>
      </c>
      <c r="E43" s="346" t="s">
        <v>361</v>
      </c>
      <c r="F43" s="346" t="s">
        <v>348</v>
      </c>
      <c r="G43" s="333">
        <v>5</v>
      </c>
      <c r="H43" s="333">
        <v>1</v>
      </c>
      <c r="I43" s="346" t="s">
        <v>350</v>
      </c>
      <c r="J43" s="346" t="s">
        <v>348</v>
      </c>
      <c r="K43" s="346" t="s">
        <v>348</v>
      </c>
      <c r="L43" s="333"/>
      <c r="M43" s="334"/>
      <c r="N43" s="372" t="s">
        <v>379</v>
      </c>
      <c r="O43" s="336">
        <f>O44</f>
        <v>32621700</v>
      </c>
      <c r="P43" s="337">
        <f t="shared" si="8"/>
        <v>24395700</v>
      </c>
      <c r="Q43" s="337">
        <f t="shared" si="8"/>
        <v>6072800</v>
      </c>
      <c r="R43" s="305">
        <f t="shared" si="1"/>
        <v>30468500</v>
      </c>
      <c r="S43" s="337">
        <f t="shared" si="9"/>
        <v>28345700</v>
      </c>
      <c r="T43" s="337">
        <f t="shared" si="9"/>
        <v>3313800</v>
      </c>
      <c r="U43" s="305">
        <f t="shared" si="2"/>
        <v>31659500</v>
      </c>
      <c r="V43" s="305">
        <f t="shared" si="3"/>
        <v>962200</v>
      </c>
      <c r="W43" s="305"/>
      <c r="X43" s="305">
        <f t="shared" si="10"/>
        <v>-1191000</v>
      </c>
      <c r="Y43" s="307">
        <f t="shared" si="0"/>
        <v>0.97050429622000078</v>
      </c>
    </row>
    <row r="44" spans="1:31" s="284" customFormat="1" ht="38.25" customHeight="1">
      <c r="A44" s="347">
        <v>7</v>
      </c>
      <c r="B44" s="348" t="s">
        <v>348</v>
      </c>
      <c r="C44" s="348" t="s">
        <v>348</v>
      </c>
      <c r="D44" s="349">
        <v>2</v>
      </c>
      <c r="E44" s="348" t="s">
        <v>361</v>
      </c>
      <c r="F44" s="348" t="s">
        <v>348</v>
      </c>
      <c r="G44" s="349">
        <v>5</v>
      </c>
      <c r="H44" s="349">
        <v>1</v>
      </c>
      <c r="I44" s="348" t="s">
        <v>350</v>
      </c>
      <c r="J44" s="348" t="s">
        <v>348</v>
      </c>
      <c r="K44" s="348" t="s">
        <v>348</v>
      </c>
      <c r="L44" s="348" t="s">
        <v>380</v>
      </c>
      <c r="M44" s="350">
        <v>1</v>
      </c>
      <c r="N44" s="351" t="s">
        <v>381</v>
      </c>
      <c r="O44" s="352">
        <f>'[8]SPJ FUNGSIONAL '!O50</f>
        <v>32621700</v>
      </c>
      <c r="P44" s="353">
        <f>'[9]LRA SP2D'!$R$44</f>
        <v>24395700</v>
      </c>
      <c r="Q44" s="353">
        <v>6072800</v>
      </c>
      <c r="R44" s="353">
        <f t="shared" si="1"/>
        <v>30468500</v>
      </c>
      <c r="S44" s="353">
        <f>'[8]SPJ FUNGSIONAL '!V50</f>
        <v>28345700</v>
      </c>
      <c r="T44" s="353">
        <f>'[8]SPJ FUNGSIONAL '!W50</f>
        <v>3313800</v>
      </c>
      <c r="U44" s="353">
        <f t="shared" si="2"/>
        <v>31659500</v>
      </c>
      <c r="V44" s="353">
        <f t="shared" si="3"/>
        <v>962200</v>
      </c>
      <c r="W44" s="353"/>
      <c r="X44" s="353">
        <f t="shared" si="10"/>
        <v>-1191000</v>
      </c>
      <c r="Y44" s="354">
        <f t="shared" si="0"/>
        <v>0.97050429622000078</v>
      </c>
    </row>
    <row r="45" spans="1:31" s="284" customFormat="1" ht="25" customHeight="1">
      <c r="A45" s="347"/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50"/>
      <c r="N45" s="351"/>
      <c r="O45" s="352"/>
      <c r="P45" s="353"/>
      <c r="Q45" s="353"/>
      <c r="R45" s="353">
        <f t="shared" si="1"/>
        <v>0</v>
      </c>
      <c r="S45" s="353"/>
      <c r="T45" s="353"/>
      <c r="U45" s="353">
        <f t="shared" si="2"/>
        <v>0</v>
      </c>
      <c r="V45" s="353">
        <f t="shared" si="3"/>
        <v>0</v>
      </c>
      <c r="W45" s="353">
        <f t="shared" ref="W45:W74" si="11">R45-U45</f>
        <v>0</v>
      </c>
      <c r="X45" s="353">
        <f t="shared" si="10"/>
        <v>0</v>
      </c>
      <c r="Y45" s="354"/>
    </row>
    <row r="46" spans="1:31" s="284" customFormat="1" ht="36" customHeight="1">
      <c r="A46" s="338">
        <v>7</v>
      </c>
      <c r="B46" s="339" t="s">
        <v>348</v>
      </c>
      <c r="C46" s="339" t="s">
        <v>348</v>
      </c>
      <c r="D46" s="340">
        <v>2</v>
      </c>
      <c r="E46" s="339" t="s">
        <v>361</v>
      </c>
      <c r="F46" s="339" t="s">
        <v>382</v>
      </c>
      <c r="G46" s="340"/>
      <c r="H46" s="340"/>
      <c r="I46" s="340"/>
      <c r="J46" s="340"/>
      <c r="K46" s="340"/>
      <c r="L46" s="340"/>
      <c r="M46" s="341"/>
      <c r="N46" s="370" t="s">
        <v>383</v>
      </c>
      <c r="O46" s="343">
        <f>O47</f>
        <v>175804400</v>
      </c>
      <c r="P46" s="344">
        <f>P47</f>
        <v>133873150</v>
      </c>
      <c r="Q46" s="344">
        <f>Q47</f>
        <v>30480500</v>
      </c>
      <c r="R46" s="344">
        <f t="shared" si="1"/>
        <v>164353650</v>
      </c>
      <c r="S46" s="344">
        <f>S47</f>
        <v>143943650</v>
      </c>
      <c r="T46" s="344">
        <f>T47</f>
        <v>22460500</v>
      </c>
      <c r="U46" s="344">
        <f t="shared" si="2"/>
        <v>166404150</v>
      </c>
      <c r="V46" s="344">
        <f t="shared" si="3"/>
        <v>9400250</v>
      </c>
      <c r="W46" s="344"/>
      <c r="X46" s="344">
        <f>R46-U46</f>
        <v>-2050500</v>
      </c>
      <c r="Y46" s="371">
        <f t="shared" si="0"/>
        <v>0.94653006409395901</v>
      </c>
    </row>
    <row r="47" spans="1:31" s="284" customFormat="1" ht="36" customHeight="1">
      <c r="A47" s="332">
        <v>7</v>
      </c>
      <c r="B47" s="346" t="s">
        <v>348</v>
      </c>
      <c r="C47" s="346" t="s">
        <v>348</v>
      </c>
      <c r="D47" s="333">
        <v>2</v>
      </c>
      <c r="E47" s="346" t="s">
        <v>361</v>
      </c>
      <c r="F47" s="346" t="s">
        <v>382</v>
      </c>
      <c r="G47" s="333">
        <v>5</v>
      </c>
      <c r="H47" s="333">
        <v>1</v>
      </c>
      <c r="I47" s="346" t="s">
        <v>350</v>
      </c>
      <c r="J47" s="333"/>
      <c r="K47" s="333"/>
      <c r="L47" s="333"/>
      <c r="M47" s="334"/>
      <c r="N47" s="372" t="s">
        <v>377</v>
      </c>
      <c r="O47" s="336">
        <f>O48+O56</f>
        <v>175804400</v>
      </c>
      <c r="P47" s="337">
        <f>P48+P56</f>
        <v>133873150</v>
      </c>
      <c r="Q47" s="337">
        <f>Q48+Q56</f>
        <v>30480500</v>
      </c>
      <c r="R47" s="305">
        <f t="shared" si="1"/>
        <v>164353650</v>
      </c>
      <c r="S47" s="337">
        <f>S48+S56</f>
        <v>143943650</v>
      </c>
      <c r="T47" s="337">
        <f>T48+T56</f>
        <v>22460500</v>
      </c>
      <c r="U47" s="305">
        <f t="shared" si="2"/>
        <v>166404150</v>
      </c>
      <c r="V47" s="305">
        <f t="shared" si="3"/>
        <v>9400250</v>
      </c>
      <c r="W47" s="305"/>
      <c r="X47" s="305">
        <f t="shared" si="10"/>
        <v>-2050500</v>
      </c>
      <c r="Y47" s="307">
        <f t="shared" si="0"/>
        <v>0.94653006409395901</v>
      </c>
    </row>
    <row r="48" spans="1:31" s="284" customFormat="1" ht="36" customHeight="1">
      <c r="A48" s="332">
        <v>7</v>
      </c>
      <c r="B48" s="346" t="s">
        <v>348</v>
      </c>
      <c r="C48" s="346" t="s">
        <v>348</v>
      </c>
      <c r="D48" s="333">
        <v>2</v>
      </c>
      <c r="E48" s="346" t="s">
        <v>361</v>
      </c>
      <c r="F48" s="346" t="s">
        <v>382</v>
      </c>
      <c r="G48" s="333">
        <v>5</v>
      </c>
      <c r="H48" s="333">
        <v>1</v>
      </c>
      <c r="I48" s="346" t="s">
        <v>350</v>
      </c>
      <c r="J48" s="346" t="s">
        <v>348</v>
      </c>
      <c r="K48" s="333"/>
      <c r="L48" s="333"/>
      <c r="M48" s="334"/>
      <c r="N48" s="372" t="s">
        <v>378</v>
      </c>
      <c r="O48" s="336">
        <f>O49</f>
        <v>174004400</v>
      </c>
      <c r="P48" s="337">
        <f>P49</f>
        <v>132673150</v>
      </c>
      <c r="Q48" s="337">
        <f>Q49</f>
        <v>30180500</v>
      </c>
      <c r="R48" s="305">
        <f t="shared" si="1"/>
        <v>162853650</v>
      </c>
      <c r="S48" s="337">
        <f>S49</f>
        <v>142743650</v>
      </c>
      <c r="T48" s="337">
        <f>T49</f>
        <v>22160500</v>
      </c>
      <c r="U48" s="305">
        <f t="shared" si="2"/>
        <v>164904150</v>
      </c>
      <c r="V48" s="305">
        <f t="shared" si="3"/>
        <v>9100250</v>
      </c>
      <c r="W48" s="305"/>
      <c r="X48" s="305">
        <f t="shared" si="10"/>
        <v>-2050500</v>
      </c>
      <c r="Y48" s="307">
        <f t="shared" si="0"/>
        <v>0.94770103514623771</v>
      </c>
      <c r="AC48" s="318">
        <f>R15</f>
        <v>18593156355</v>
      </c>
    </row>
    <row r="49" spans="1:29" s="284" customFormat="1" ht="36" customHeight="1">
      <c r="A49" s="332">
        <v>7</v>
      </c>
      <c r="B49" s="346" t="s">
        <v>348</v>
      </c>
      <c r="C49" s="346" t="s">
        <v>348</v>
      </c>
      <c r="D49" s="333">
        <v>2</v>
      </c>
      <c r="E49" s="346" t="s">
        <v>361</v>
      </c>
      <c r="F49" s="346" t="s">
        <v>382</v>
      </c>
      <c r="G49" s="333">
        <v>5</v>
      </c>
      <c r="H49" s="333">
        <v>1</v>
      </c>
      <c r="I49" s="346" t="s">
        <v>350</v>
      </c>
      <c r="J49" s="346" t="s">
        <v>348</v>
      </c>
      <c r="K49" s="346" t="s">
        <v>348</v>
      </c>
      <c r="L49" s="333"/>
      <c r="M49" s="334"/>
      <c r="N49" s="372" t="s">
        <v>379</v>
      </c>
      <c r="O49" s="336">
        <f>SUM(O50:O55)</f>
        <v>174004400</v>
      </c>
      <c r="P49" s="337">
        <f>SUM(P50:P55)</f>
        <v>132673150</v>
      </c>
      <c r="Q49" s="337">
        <f>SUM(Q50:Q55)</f>
        <v>30180500</v>
      </c>
      <c r="R49" s="305">
        <f t="shared" si="1"/>
        <v>162853650</v>
      </c>
      <c r="S49" s="337">
        <f>SUM(S50:S55)</f>
        <v>142743650</v>
      </c>
      <c r="T49" s="337">
        <f>SUM(T50:T55)</f>
        <v>22160500</v>
      </c>
      <c r="U49" s="305">
        <f t="shared" si="2"/>
        <v>164904150</v>
      </c>
      <c r="V49" s="305">
        <f t="shared" si="3"/>
        <v>9100250</v>
      </c>
      <c r="W49" s="305"/>
      <c r="X49" s="305">
        <f t="shared" si="10"/>
        <v>-2050500</v>
      </c>
      <c r="Y49" s="307">
        <f t="shared" si="0"/>
        <v>0.94770103514623771</v>
      </c>
      <c r="AC49" s="318">
        <f>U15</f>
        <v>18304456255</v>
      </c>
    </row>
    <row r="50" spans="1:29" s="284" customFormat="1" ht="36" customHeight="1">
      <c r="A50" s="347">
        <v>7</v>
      </c>
      <c r="B50" s="348" t="s">
        <v>348</v>
      </c>
      <c r="C50" s="348" t="s">
        <v>348</v>
      </c>
      <c r="D50" s="349">
        <v>2</v>
      </c>
      <c r="E50" s="348" t="s">
        <v>361</v>
      </c>
      <c r="F50" s="348" t="s">
        <v>382</v>
      </c>
      <c r="G50" s="349">
        <v>5</v>
      </c>
      <c r="H50" s="349">
        <v>1</v>
      </c>
      <c r="I50" s="348" t="s">
        <v>350</v>
      </c>
      <c r="J50" s="348" t="s">
        <v>348</v>
      </c>
      <c r="K50" s="348" t="s">
        <v>348</v>
      </c>
      <c r="L50" s="348" t="s">
        <v>384</v>
      </c>
      <c r="M50" s="350">
        <v>4</v>
      </c>
      <c r="N50" s="351" t="s">
        <v>385</v>
      </c>
      <c r="O50" s="352">
        <f>'[8]SPJ FUNGSIONAL '!O56</f>
        <v>25206400</v>
      </c>
      <c r="P50" s="353">
        <f>'[9]LRA SP2D'!$R$50</f>
        <v>21672650</v>
      </c>
      <c r="Q50" s="353">
        <v>2788500</v>
      </c>
      <c r="R50" s="353">
        <f t="shared" si="1"/>
        <v>24461150</v>
      </c>
      <c r="S50" s="353">
        <f>'[8]SPJ FUNGSIONAL '!V56</f>
        <v>22727650</v>
      </c>
      <c r="T50" s="353">
        <f>'[8]SPJ FUNGSIONAL '!W56</f>
        <v>1733500</v>
      </c>
      <c r="U50" s="353">
        <f t="shared" si="2"/>
        <v>24461150</v>
      </c>
      <c r="V50" s="353">
        <f t="shared" si="3"/>
        <v>745250</v>
      </c>
      <c r="W50" s="353"/>
      <c r="X50" s="353">
        <f>R50-U50</f>
        <v>0</v>
      </c>
      <c r="Y50" s="354">
        <f t="shared" si="0"/>
        <v>0.97043409610257714</v>
      </c>
    </row>
    <row r="51" spans="1:29" s="284" customFormat="1" ht="36" customHeight="1">
      <c r="A51" s="347">
        <v>7</v>
      </c>
      <c r="B51" s="348" t="s">
        <v>348</v>
      </c>
      <c r="C51" s="348" t="s">
        <v>348</v>
      </c>
      <c r="D51" s="349">
        <v>2</v>
      </c>
      <c r="E51" s="348" t="s">
        <v>361</v>
      </c>
      <c r="F51" s="348" t="s">
        <v>382</v>
      </c>
      <c r="G51" s="349">
        <v>5</v>
      </c>
      <c r="H51" s="349">
        <v>1</v>
      </c>
      <c r="I51" s="348" t="s">
        <v>350</v>
      </c>
      <c r="J51" s="348" t="s">
        <v>348</v>
      </c>
      <c r="K51" s="348" t="s">
        <v>348</v>
      </c>
      <c r="L51" s="348" t="s">
        <v>384</v>
      </c>
      <c r="M51" s="350">
        <v>5</v>
      </c>
      <c r="N51" s="367" t="s">
        <v>386</v>
      </c>
      <c r="O51" s="352">
        <f>'[8]SPJ FUNGSIONAL '!O57</f>
        <v>40849000</v>
      </c>
      <c r="P51" s="353">
        <f>'[9]LRA SP2D'!$R$51</f>
        <v>29841500</v>
      </c>
      <c r="Q51" s="353">
        <v>7620500</v>
      </c>
      <c r="R51" s="353">
        <f t="shared" si="1"/>
        <v>37462000</v>
      </c>
      <c r="S51" s="353">
        <f>'[8]SPJ FUNGSIONAL '!V57</f>
        <v>32780500</v>
      </c>
      <c r="T51" s="353">
        <f>'[8]SPJ FUNGSIONAL '!W57</f>
        <v>4791500</v>
      </c>
      <c r="U51" s="353">
        <f t="shared" si="2"/>
        <v>37572000</v>
      </c>
      <c r="V51" s="353">
        <f t="shared" si="3"/>
        <v>3277000</v>
      </c>
      <c r="W51" s="353"/>
      <c r="X51" s="353">
        <f t="shared" si="10"/>
        <v>-110000</v>
      </c>
      <c r="Y51" s="354">
        <f t="shared" si="0"/>
        <v>0.91977771793679164</v>
      </c>
      <c r="AC51" s="318">
        <f>AC48-AC49</f>
        <v>288700100</v>
      </c>
    </row>
    <row r="52" spans="1:29" s="284" customFormat="1" ht="36" customHeight="1">
      <c r="A52" s="347">
        <v>7</v>
      </c>
      <c r="B52" s="348" t="s">
        <v>348</v>
      </c>
      <c r="C52" s="348" t="s">
        <v>348</v>
      </c>
      <c r="D52" s="349">
        <v>2</v>
      </c>
      <c r="E52" s="348" t="s">
        <v>361</v>
      </c>
      <c r="F52" s="348" t="s">
        <v>382</v>
      </c>
      <c r="G52" s="349">
        <v>5</v>
      </c>
      <c r="H52" s="349">
        <v>1</v>
      </c>
      <c r="I52" s="348" t="s">
        <v>350</v>
      </c>
      <c r="J52" s="348" t="s">
        <v>348</v>
      </c>
      <c r="K52" s="348" t="s">
        <v>348</v>
      </c>
      <c r="L52" s="348" t="s">
        <v>384</v>
      </c>
      <c r="M52" s="350">
        <v>6</v>
      </c>
      <c r="N52" s="351" t="s">
        <v>387</v>
      </c>
      <c r="O52" s="352">
        <f>'[8]SPJ FUNGSIONAL '!O58</f>
        <v>115000</v>
      </c>
      <c r="P52" s="353">
        <f>'[9]LRA SP2D'!$R$52</f>
        <v>115000</v>
      </c>
      <c r="Q52" s="353"/>
      <c r="R52" s="353">
        <f t="shared" si="1"/>
        <v>115000</v>
      </c>
      <c r="S52" s="353">
        <f>'[8]SPJ FUNGSIONAL '!V58</f>
        <v>115000</v>
      </c>
      <c r="T52" s="353">
        <f>'[8]SPJ FUNGSIONAL '!W58</f>
        <v>0</v>
      </c>
      <c r="U52" s="353">
        <f t="shared" si="2"/>
        <v>115000</v>
      </c>
      <c r="V52" s="353">
        <f t="shared" si="3"/>
        <v>0</v>
      </c>
      <c r="W52" s="353">
        <f t="shared" si="11"/>
        <v>0</v>
      </c>
      <c r="X52" s="353">
        <f t="shared" si="10"/>
        <v>0</v>
      </c>
      <c r="Y52" s="354">
        <f t="shared" si="0"/>
        <v>1</v>
      </c>
    </row>
    <row r="53" spans="1:29" s="284" customFormat="1" ht="36" customHeight="1">
      <c r="A53" s="347">
        <v>7</v>
      </c>
      <c r="B53" s="348" t="s">
        <v>348</v>
      </c>
      <c r="C53" s="348" t="s">
        <v>348</v>
      </c>
      <c r="D53" s="349">
        <v>2</v>
      </c>
      <c r="E53" s="348" t="s">
        <v>361</v>
      </c>
      <c r="F53" s="348" t="s">
        <v>382</v>
      </c>
      <c r="G53" s="349">
        <v>5</v>
      </c>
      <c r="H53" s="349">
        <v>1</v>
      </c>
      <c r="I53" s="348" t="s">
        <v>350</v>
      </c>
      <c r="J53" s="348" t="s">
        <v>348</v>
      </c>
      <c r="K53" s="348" t="s">
        <v>348</v>
      </c>
      <c r="L53" s="348" t="s">
        <v>384</v>
      </c>
      <c r="M53" s="350">
        <v>9</v>
      </c>
      <c r="N53" s="351" t="s">
        <v>388</v>
      </c>
      <c r="O53" s="352">
        <f>'[8]SPJ FUNGSIONAL '!O59</f>
        <v>47550000</v>
      </c>
      <c r="P53" s="353">
        <f>'[9]LRA SP2D'!$R$53</f>
        <v>39421000</v>
      </c>
      <c r="Q53" s="353">
        <v>7060000</v>
      </c>
      <c r="R53" s="353">
        <f t="shared" si="1"/>
        <v>46481000</v>
      </c>
      <c r="S53" s="353">
        <f>'[8]SPJ FUNGSIONAL '!V59</f>
        <v>40911000</v>
      </c>
      <c r="T53" s="353">
        <f>'[8]SPJ FUNGSIONAL '!W59</f>
        <v>5570000</v>
      </c>
      <c r="U53" s="353">
        <f t="shared" si="2"/>
        <v>46481000</v>
      </c>
      <c r="V53" s="353">
        <f t="shared" si="3"/>
        <v>1069000</v>
      </c>
      <c r="W53" s="353">
        <f t="shared" si="11"/>
        <v>0</v>
      </c>
      <c r="X53" s="353">
        <f t="shared" si="10"/>
        <v>0</v>
      </c>
      <c r="Y53" s="354">
        <f t="shared" si="0"/>
        <v>0.97751840168243953</v>
      </c>
    </row>
    <row r="54" spans="1:29" s="284" customFormat="1" ht="36" customHeight="1">
      <c r="A54" s="347">
        <v>7</v>
      </c>
      <c r="B54" s="348" t="s">
        <v>348</v>
      </c>
      <c r="C54" s="348" t="s">
        <v>348</v>
      </c>
      <c r="D54" s="349">
        <v>2</v>
      </c>
      <c r="E54" s="348" t="s">
        <v>361</v>
      </c>
      <c r="F54" s="348" t="s">
        <v>382</v>
      </c>
      <c r="G54" s="349">
        <v>5</v>
      </c>
      <c r="H54" s="349">
        <v>1</v>
      </c>
      <c r="I54" s="348" t="s">
        <v>350</v>
      </c>
      <c r="J54" s="348" t="s">
        <v>348</v>
      </c>
      <c r="K54" s="348" t="s">
        <v>348</v>
      </c>
      <c r="L54" s="348" t="s">
        <v>380</v>
      </c>
      <c r="M54" s="350">
        <v>0</v>
      </c>
      <c r="N54" s="351" t="s">
        <v>389</v>
      </c>
      <c r="O54" s="352">
        <f>'[8]SPJ FUNGSIONAL '!O60</f>
        <v>24193000</v>
      </c>
      <c r="P54" s="353">
        <f>'[9]LRA SP2D'!$R$54</f>
        <v>17242500</v>
      </c>
      <c r="Q54" s="353">
        <f>4951000</f>
        <v>4951000</v>
      </c>
      <c r="R54" s="353">
        <f t="shared" si="1"/>
        <v>22193500</v>
      </c>
      <c r="S54" s="353">
        <f>'[8]SPJ FUNGSIONAL '!V60</f>
        <v>18353500</v>
      </c>
      <c r="T54" s="373">
        <f>'[8]SPJ FUNGSIONAL '!W60</f>
        <v>3825000</v>
      </c>
      <c r="U54" s="353">
        <f t="shared" si="2"/>
        <v>22178500</v>
      </c>
      <c r="V54" s="353">
        <f t="shared" si="3"/>
        <v>2014500</v>
      </c>
      <c r="W54" s="353"/>
      <c r="X54" s="353"/>
      <c r="Y54" s="354">
        <f t="shared" si="0"/>
        <v>0.91673211259455212</v>
      </c>
    </row>
    <row r="55" spans="1:29" s="284" customFormat="1" ht="36" customHeight="1">
      <c r="A55" s="347">
        <v>7</v>
      </c>
      <c r="B55" s="348" t="s">
        <v>348</v>
      </c>
      <c r="C55" s="348" t="s">
        <v>348</v>
      </c>
      <c r="D55" s="349">
        <v>2</v>
      </c>
      <c r="E55" s="348" t="s">
        <v>361</v>
      </c>
      <c r="F55" s="348" t="s">
        <v>382</v>
      </c>
      <c r="G55" s="349">
        <v>5</v>
      </c>
      <c r="H55" s="349">
        <v>1</v>
      </c>
      <c r="I55" s="348" t="s">
        <v>350</v>
      </c>
      <c r="J55" s="348" t="s">
        <v>348</v>
      </c>
      <c r="K55" s="348" t="s">
        <v>348</v>
      </c>
      <c r="L55" s="348" t="s">
        <v>380</v>
      </c>
      <c r="M55" s="350">
        <v>6</v>
      </c>
      <c r="N55" s="367" t="s">
        <v>390</v>
      </c>
      <c r="O55" s="352">
        <f>'[8]SPJ FUNGSIONAL '!O61</f>
        <v>36091000</v>
      </c>
      <c r="P55" s="353">
        <f>'[9]LRA SP2D'!$R$55</f>
        <v>24380500</v>
      </c>
      <c r="Q55" s="353">
        <v>7760500</v>
      </c>
      <c r="R55" s="353">
        <f t="shared" si="1"/>
        <v>32141000</v>
      </c>
      <c r="S55" s="353">
        <f>'[8]SPJ FUNGSIONAL '!V61</f>
        <v>27856000</v>
      </c>
      <c r="T55" s="353">
        <f>'[8]SPJ FUNGSIONAL '!W61</f>
        <v>6240500</v>
      </c>
      <c r="U55" s="353">
        <f t="shared" si="2"/>
        <v>34096500</v>
      </c>
      <c r="V55" s="353">
        <f t="shared" si="3"/>
        <v>1994500</v>
      </c>
      <c r="W55" s="353"/>
      <c r="X55" s="353">
        <f t="shared" si="10"/>
        <v>-1955500</v>
      </c>
      <c r="Y55" s="354">
        <f t="shared" si="0"/>
        <v>0.94473691502036516</v>
      </c>
    </row>
    <row r="56" spans="1:29" s="284" customFormat="1" ht="36" customHeight="1">
      <c r="A56" s="332">
        <v>7</v>
      </c>
      <c r="B56" s="346" t="s">
        <v>348</v>
      </c>
      <c r="C56" s="346" t="s">
        <v>348</v>
      </c>
      <c r="D56" s="333">
        <v>2</v>
      </c>
      <c r="E56" s="346" t="s">
        <v>361</v>
      </c>
      <c r="F56" s="346" t="s">
        <v>382</v>
      </c>
      <c r="G56" s="333">
        <v>5</v>
      </c>
      <c r="H56" s="333">
        <v>1</v>
      </c>
      <c r="I56" s="346" t="s">
        <v>350</v>
      </c>
      <c r="J56" s="346" t="s">
        <v>350</v>
      </c>
      <c r="K56" s="333"/>
      <c r="L56" s="333"/>
      <c r="M56" s="334"/>
      <c r="N56" s="372" t="s">
        <v>391</v>
      </c>
      <c r="O56" s="336">
        <f t="shared" ref="O56:Q57" si="12">O57</f>
        <v>1800000</v>
      </c>
      <c r="P56" s="305">
        <f t="shared" si="12"/>
        <v>1200000</v>
      </c>
      <c r="Q56" s="305">
        <f t="shared" si="12"/>
        <v>300000</v>
      </c>
      <c r="R56" s="305">
        <f t="shared" si="1"/>
        <v>1500000</v>
      </c>
      <c r="S56" s="353">
        <f>'[8]SPJ FUNGSIONAL '!V62</f>
        <v>1200000</v>
      </c>
      <c r="T56" s="305">
        <f>T57</f>
        <v>300000</v>
      </c>
      <c r="U56" s="305">
        <f t="shared" si="2"/>
        <v>1500000</v>
      </c>
      <c r="V56" s="305">
        <f t="shared" si="3"/>
        <v>300000</v>
      </c>
      <c r="W56" s="305">
        <f t="shared" si="11"/>
        <v>0</v>
      </c>
      <c r="X56" s="305">
        <f t="shared" si="10"/>
        <v>0</v>
      </c>
      <c r="Y56" s="307">
        <f t="shared" si="0"/>
        <v>0.83333333333333337</v>
      </c>
    </row>
    <row r="57" spans="1:29" s="284" customFormat="1" ht="36" customHeight="1">
      <c r="A57" s="332">
        <v>7</v>
      </c>
      <c r="B57" s="346" t="s">
        <v>348</v>
      </c>
      <c r="C57" s="346" t="s">
        <v>348</v>
      </c>
      <c r="D57" s="333">
        <v>2</v>
      </c>
      <c r="E57" s="346" t="s">
        <v>361</v>
      </c>
      <c r="F57" s="346" t="s">
        <v>382</v>
      </c>
      <c r="G57" s="333">
        <v>5</v>
      </c>
      <c r="H57" s="333">
        <v>1</v>
      </c>
      <c r="I57" s="346" t="s">
        <v>350</v>
      </c>
      <c r="J57" s="346" t="s">
        <v>350</v>
      </c>
      <c r="K57" s="346" t="s">
        <v>348</v>
      </c>
      <c r="L57" s="349"/>
      <c r="M57" s="350"/>
      <c r="N57" s="374" t="s">
        <v>392</v>
      </c>
      <c r="O57" s="352">
        <f t="shared" si="12"/>
        <v>1800000</v>
      </c>
      <c r="P57" s="305">
        <f t="shared" si="12"/>
        <v>1200000</v>
      </c>
      <c r="Q57" s="305">
        <f t="shared" si="12"/>
        <v>300000</v>
      </c>
      <c r="R57" s="305">
        <f t="shared" si="1"/>
        <v>1500000</v>
      </c>
      <c r="S57" s="305">
        <f>'[8]SPJ FUNGSIONAL '!V63</f>
        <v>1200000</v>
      </c>
      <c r="T57" s="305">
        <f>T58</f>
        <v>300000</v>
      </c>
      <c r="U57" s="305">
        <f t="shared" si="2"/>
        <v>1500000</v>
      </c>
      <c r="V57" s="305">
        <f t="shared" si="3"/>
        <v>300000</v>
      </c>
      <c r="W57" s="305">
        <f t="shared" si="11"/>
        <v>0</v>
      </c>
      <c r="X57" s="305">
        <f t="shared" si="10"/>
        <v>0</v>
      </c>
      <c r="Y57" s="307">
        <f t="shared" si="0"/>
        <v>0.83333333333333337</v>
      </c>
    </row>
    <row r="58" spans="1:29" s="284" customFormat="1" ht="36" customHeight="1">
      <c r="A58" s="347">
        <v>7</v>
      </c>
      <c r="B58" s="348" t="s">
        <v>348</v>
      </c>
      <c r="C58" s="348" t="s">
        <v>348</v>
      </c>
      <c r="D58" s="349">
        <v>2</v>
      </c>
      <c r="E58" s="348" t="s">
        <v>361</v>
      </c>
      <c r="F58" s="348" t="s">
        <v>382</v>
      </c>
      <c r="G58" s="349">
        <v>5</v>
      </c>
      <c r="H58" s="349">
        <v>1</v>
      </c>
      <c r="I58" s="348" t="s">
        <v>350</v>
      </c>
      <c r="J58" s="348" t="s">
        <v>350</v>
      </c>
      <c r="K58" s="348" t="s">
        <v>348</v>
      </c>
      <c r="L58" s="348" t="s">
        <v>393</v>
      </c>
      <c r="M58" s="350">
        <v>2</v>
      </c>
      <c r="N58" s="351" t="s">
        <v>394</v>
      </c>
      <c r="O58" s="352">
        <f>'[8]SPJ FUNGSIONAL '!O64</f>
        <v>1800000</v>
      </c>
      <c r="P58" s="353">
        <f>'[9]LRA SP2D'!$R$58</f>
        <v>1200000</v>
      </c>
      <c r="Q58" s="353">
        <f>T58</f>
        <v>300000</v>
      </c>
      <c r="R58" s="353">
        <f t="shared" si="1"/>
        <v>1500000</v>
      </c>
      <c r="S58" s="353">
        <f>'[8]SPJ FUNGSIONAL '!V64</f>
        <v>1200000</v>
      </c>
      <c r="T58" s="353">
        <f>'[8]SPJ FUNGSIONAL '!W64</f>
        <v>300000</v>
      </c>
      <c r="U58" s="353">
        <f t="shared" si="2"/>
        <v>1500000</v>
      </c>
      <c r="V58" s="353">
        <f t="shared" si="3"/>
        <v>300000</v>
      </c>
      <c r="W58" s="353">
        <f t="shared" si="11"/>
        <v>0</v>
      </c>
      <c r="X58" s="353">
        <f t="shared" si="10"/>
        <v>0</v>
      </c>
      <c r="Y58" s="354">
        <f t="shared" si="0"/>
        <v>0.83333333333333337</v>
      </c>
    </row>
    <row r="59" spans="1:29" s="284" customFormat="1" ht="25" customHeight="1">
      <c r="A59" s="347"/>
      <c r="B59" s="349"/>
      <c r="C59" s="349"/>
      <c r="D59" s="349"/>
      <c r="E59" s="349"/>
      <c r="F59" s="349"/>
      <c r="G59" s="349"/>
      <c r="H59" s="349"/>
      <c r="I59" s="349"/>
      <c r="J59" s="349"/>
      <c r="K59" s="349"/>
      <c r="L59" s="349"/>
      <c r="M59" s="350"/>
      <c r="N59" s="351"/>
      <c r="O59" s="352"/>
      <c r="P59" s="353"/>
      <c r="Q59" s="353"/>
      <c r="R59" s="353">
        <f t="shared" si="1"/>
        <v>0</v>
      </c>
      <c r="S59" s="353"/>
      <c r="T59" s="353"/>
      <c r="U59" s="353"/>
      <c r="V59" s="353">
        <f t="shared" si="3"/>
        <v>0</v>
      </c>
      <c r="W59" s="353">
        <f t="shared" si="11"/>
        <v>0</v>
      </c>
      <c r="X59" s="353">
        <f t="shared" si="10"/>
        <v>0</v>
      </c>
      <c r="Y59" s="354"/>
    </row>
    <row r="60" spans="1:29" s="284" customFormat="1" ht="34.5" customHeight="1">
      <c r="A60" s="338">
        <v>7</v>
      </c>
      <c r="B60" s="339" t="s">
        <v>348</v>
      </c>
      <c r="C60" s="339" t="s">
        <v>348</v>
      </c>
      <c r="D60" s="340">
        <v>2</v>
      </c>
      <c r="E60" s="339" t="s">
        <v>361</v>
      </c>
      <c r="F60" s="339" t="s">
        <v>359</v>
      </c>
      <c r="G60" s="340"/>
      <c r="H60" s="340"/>
      <c r="I60" s="340"/>
      <c r="J60" s="340"/>
      <c r="K60" s="340"/>
      <c r="L60" s="340"/>
      <c r="M60" s="341"/>
      <c r="N60" s="370" t="s">
        <v>395</v>
      </c>
      <c r="O60" s="343">
        <f>O61</f>
        <v>50862250</v>
      </c>
      <c r="P60" s="344">
        <f t="shared" ref="P60:Q63" si="13">P61</f>
        <v>20954950</v>
      </c>
      <c r="Q60" s="344">
        <f t="shared" si="13"/>
        <v>15696300</v>
      </c>
      <c r="R60" s="344">
        <f t="shared" si="1"/>
        <v>36651250</v>
      </c>
      <c r="S60" s="344">
        <f t="shared" ref="S60:T63" si="14">S61</f>
        <v>21554950</v>
      </c>
      <c r="T60" s="344">
        <f t="shared" si="14"/>
        <v>16666750</v>
      </c>
      <c r="U60" s="344">
        <f t="shared" si="2"/>
        <v>38221700</v>
      </c>
      <c r="V60" s="344">
        <f t="shared" si="3"/>
        <v>12640550</v>
      </c>
      <c r="W60" s="344"/>
      <c r="X60" s="344">
        <f t="shared" si="10"/>
        <v>-1570450</v>
      </c>
      <c r="Y60" s="371">
        <f t="shared" si="0"/>
        <v>0.75147481678455041</v>
      </c>
    </row>
    <row r="61" spans="1:29" s="284" customFormat="1" ht="34.5" customHeight="1">
      <c r="A61" s="332">
        <v>7</v>
      </c>
      <c r="B61" s="346" t="s">
        <v>348</v>
      </c>
      <c r="C61" s="346" t="s">
        <v>348</v>
      </c>
      <c r="D61" s="333">
        <v>2</v>
      </c>
      <c r="E61" s="346" t="s">
        <v>361</v>
      </c>
      <c r="F61" s="346" t="s">
        <v>359</v>
      </c>
      <c r="G61" s="333">
        <v>5</v>
      </c>
      <c r="H61" s="333">
        <v>1</v>
      </c>
      <c r="I61" s="346" t="s">
        <v>350</v>
      </c>
      <c r="J61" s="333"/>
      <c r="K61" s="333"/>
      <c r="L61" s="333"/>
      <c r="M61" s="334"/>
      <c r="N61" s="372" t="s">
        <v>377</v>
      </c>
      <c r="O61" s="336">
        <f>O62</f>
        <v>50862250</v>
      </c>
      <c r="P61" s="337">
        <f t="shared" si="13"/>
        <v>20954950</v>
      </c>
      <c r="Q61" s="337">
        <f t="shared" si="13"/>
        <v>15696300</v>
      </c>
      <c r="R61" s="305">
        <f t="shared" si="1"/>
        <v>36651250</v>
      </c>
      <c r="S61" s="337">
        <f t="shared" si="14"/>
        <v>21554950</v>
      </c>
      <c r="T61" s="337">
        <f t="shared" si="14"/>
        <v>16666750</v>
      </c>
      <c r="U61" s="305">
        <f t="shared" si="2"/>
        <v>38221700</v>
      </c>
      <c r="V61" s="305">
        <f t="shared" si="3"/>
        <v>12640550</v>
      </c>
      <c r="W61" s="305"/>
      <c r="X61" s="305">
        <f t="shared" si="10"/>
        <v>-1570450</v>
      </c>
      <c r="Y61" s="307">
        <f t="shared" si="0"/>
        <v>0.75147481678455041</v>
      </c>
    </row>
    <row r="62" spans="1:29" s="284" customFormat="1" ht="34.5" customHeight="1">
      <c r="A62" s="332">
        <v>7</v>
      </c>
      <c r="B62" s="346" t="s">
        <v>348</v>
      </c>
      <c r="C62" s="346" t="s">
        <v>348</v>
      </c>
      <c r="D62" s="333">
        <v>2</v>
      </c>
      <c r="E62" s="346" t="s">
        <v>361</v>
      </c>
      <c r="F62" s="346" t="s">
        <v>359</v>
      </c>
      <c r="G62" s="333">
        <v>5</v>
      </c>
      <c r="H62" s="333">
        <v>1</v>
      </c>
      <c r="I62" s="346" t="s">
        <v>350</v>
      </c>
      <c r="J62" s="346" t="s">
        <v>348</v>
      </c>
      <c r="K62" s="333"/>
      <c r="L62" s="333"/>
      <c r="M62" s="334"/>
      <c r="N62" s="372" t="s">
        <v>378</v>
      </c>
      <c r="O62" s="336">
        <f>O63</f>
        <v>50862250</v>
      </c>
      <c r="P62" s="337">
        <f t="shared" si="13"/>
        <v>20954950</v>
      </c>
      <c r="Q62" s="337">
        <f t="shared" si="13"/>
        <v>15696300</v>
      </c>
      <c r="R62" s="305">
        <f t="shared" si="1"/>
        <v>36651250</v>
      </c>
      <c r="S62" s="337">
        <f t="shared" si="14"/>
        <v>21554950</v>
      </c>
      <c r="T62" s="337">
        <f t="shared" si="14"/>
        <v>16666750</v>
      </c>
      <c r="U62" s="305">
        <f t="shared" si="2"/>
        <v>38221700</v>
      </c>
      <c r="V62" s="305">
        <f t="shared" si="3"/>
        <v>12640550</v>
      </c>
      <c r="W62" s="305"/>
      <c r="X62" s="305">
        <f t="shared" si="10"/>
        <v>-1570450</v>
      </c>
      <c r="Y62" s="307">
        <f t="shared" si="0"/>
        <v>0.75147481678455041</v>
      </c>
    </row>
    <row r="63" spans="1:29" s="284" customFormat="1" ht="34.5" customHeight="1">
      <c r="A63" s="332">
        <v>7</v>
      </c>
      <c r="B63" s="346" t="s">
        <v>348</v>
      </c>
      <c r="C63" s="346" t="s">
        <v>348</v>
      </c>
      <c r="D63" s="333">
        <v>2</v>
      </c>
      <c r="E63" s="346" t="s">
        <v>361</v>
      </c>
      <c r="F63" s="346" t="s">
        <v>359</v>
      </c>
      <c r="G63" s="333">
        <v>5</v>
      </c>
      <c r="H63" s="333">
        <v>1</v>
      </c>
      <c r="I63" s="346" t="s">
        <v>350</v>
      </c>
      <c r="J63" s="346" t="s">
        <v>348</v>
      </c>
      <c r="K63" s="346" t="s">
        <v>348</v>
      </c>
      <c r="L63" s="333"/>
      <c r="M63" s="334"/>
      <c r="N63" s="372" t="s">
        <v>379</v>
      </c>
      <c r="O63" s="336">
        <f>O64</f>
        <v>50862250</v>
      </c>
      <c r="P63" s="337">
        <f t="shared" si="13"/>
        <v>20954950</v>
      </c>
      <c r="Q63" s="337">
        <f t="shared" si="13"/>
        <v>15696300</v>
      </c>
      <c r="R63" s="305">
        <f t="shared" si="1"/>
        <v>36651250</v>
      </c>
      <c r="S63" s="337">
        <f t="shared" si="14"/>
        <v>21554950</v>
      </c>
      <c r="T63" s="337">
        <f t="shared" si="14"/>
        <v>16666750</v>
      </c>
      <c r="U63" s="305">
        <f t="shared" si="2"/>
        <v>38221700</v>
      </c>
      <c r="V63" s="305">
        <f t="shared" si="3"/>
        <v>12640550</v>
      </c>
      <c r="W63" s="305"/>
      <c r="X63" s="305">
        <f t="shared" si="10"/>
        <v>-1570450</v>
      </c>
      <c r="Y63" s="307">
        <f t="shared" si="0"/>
        <v>0.75147481678455041</v>
      </c>
    </row>
    <row r="64" spans="1:29" s="284" customFormat="1" ht="34.5" customHeight="1">
      <c r="A64" s="347">
        <v>7</v>
      </c>
      <c r="B64" s="348" t="s">
        <v>348</v>
      </c>
      <c r="C64" s="348" t="s">
        <v>348</v>
      </c>
      <c r="D64" s="349">
        <v>2</v>
      </c>
      <c r="E64" s="348" t="s">
        <v>361</v>
      </c>
      <c r="F64" s="348" t="s">
        <v>359</v>
      </c>
      <c r="G64" s="349">
        <v>5</v>
      </c>
      <c r="H64" s="349">
        <v>1</v>
      </c>
      <c r="I64" s="348" t="s">
        <v>350</v>
      </c>
      <c r="J64" s="348" t="s">
        <v>348</v>
      </c>
      <c r="K64" s="348" t="s">
        <v>348</v>
      </c>
      <c r="L64" s="348" t="s">
        <v>384</v>
      </c>
      <c r="M64" s="350">
        <v>6</v>
      </c>
      <c r="N64" s="351" t="s">
        <v>387</v>
      </c>
      <c r="O64" s="352">
        <f>'[8]SPJ FUNGSIONAL '!O70</f>
        <v>50862250</v>
      </c>
      <c r="P64" s="353">
        <f>'[9]LRA SP2D'!$R$64</f>
        <v>20954950</v>
      </c>
      <c r="Q64" s="353">
        <v>15696300</v>
      </c>
      <c r="R64" s="353">
        <f t="shared" si="1"/>
        <v>36651250</v>
      </c>
      <c r="S64" s="353">
        <f>'[8]SPJ FUNGSIONAL '!V70</f>
        <v>21554950</v>
      </c>
      <c r="T64" s="353">
        <f>'[8]SPJ FUNGSIONAL '!W70</f>
        <v>16666750</v>
      </c>
      <c r="U64" s="353">
        <f t="shared" si="2"/>
        <v>38221700</v>
      </c>
      <c r="V64" s="353">
        <f t="shared" si="3"/>
        <v>12640550</v>
      </c>
      <c r="W64" s="353"/>
      <c r="X64" s="353">
        <f t="shared" si="10"/>
        <v>-1570450</v>
      </c>
      <c r="Y64" s="354">
        <f t="shared" si="0"/>
        <v>0.75147481678455041</v>
      </c>
    </row>
    <row r="65" spans="1:25" s="284" customFormat="1" ht="25" customHeight="1">
      <c r="A65" s="375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76"/>
      <c r="N65" s="351"/>
      <c r="O65" s="352"/>
      <c r="P65" s="353"/>
      <c r="Q65" s="353"/>
      <c r="R65" s="353">
        <f t="shared" si="1"/>
        <v>0</v>
      </c>
      <c r="S65" s="353"/>
      <c r="T65" s="353"/>
      <c r="U65" s="353">
        <f t="shared" si="2"/>
        <v>0</v>
      </c>
      <c r="V65" s="353">
        <f t="shared" si="3"/>
        <v>0</v>
      </c>
      <c r="W65" s="353">
        <f t="shared" si="11"/>
        <v>0</v>
      </c>
      <c r="X65" s="353">
        <f t="shared" si="10"/>
        <v>0</v>
      </c>
      <c r="Y65" s="354"/>
    </row>
    <row r="66" spans="1:25" s="284" customFormat="1" ht="33" customHeight="1">
      <c r="A66" s="338">
        <v>7</v>
      </c>
      <c r="B66" s="339" t="s">
        <v>348</v>
      </c>
      <c r="C66" s="339" t="s">
        <v>348</v>
      </c>
      <c r="D66" s="340">
        <v>2</v>
      </c>
      <c r="E66" s="339" t="s">
        <v>361</v>
      </c>
      <c r="F66" s="339" t="s">
        <v>367</v>
      </c>
      <c r="G66" s="340"/>
      <c r="H66" s="340"/>
      <c r="I66" s="340"/>
      <c r="J66" s="340"/>
      <c r="K66" s="340"/>
      <c r="L66" s="340"/>
      <c r="M66" s="341"/>
      <c r="N66" s="370" t="s">
        <v>396</v>
      </c>
      <c r="O66" s="343">
        <f t="shared" ref="O66:U67" si="15">O67</f>
        <v>252381500</v>
      </c>
      <c r="P66" s="343">
        <f t="shared" si="15"/>
        <v>132429793</v>
      </c>
      <c r="Q66" s="343">
        <f t="shared" si="15"/>
        <v>74348900</v>
      </c>
      <c r="R66" s="343">
        <f t="shared" si="15"/>
        <v>206778693</v>
      </c>
      <c r="S66" s="343">
        <f t="shared" si="15"/>
        <v>199308593</v>
      </c>
      <c r="T66" s="343">
        <f t="shared" si="15"/>
        <v>13809650</v>
      </c>
      <c r="U66" s="343">
        <f t="shared" si="15"/>
        <v>213118243</v>
      </c>
      <c r="V66" s="344">
        <f t="shared" si="3"/>
        <v>39263257</v>
      </c>
      <c r="W66" s="344"/>
      <c r="X66" s="344">
        <f t="shared" si="10"/>
        <v>-6339550</v>
      </c>
      <c r="Y66" s="371">
        <f t="shared" si="0"/>
        <v>0.84442894189946571</v>
      </c>
    </row>
    <row r="67" spans="1:25" s="284" customFormat="1" ht="33" customHeight="1">
      <c r="A67" s="377">
        <v>7</v>
      </c>
      <c r="B67" s="378" t="s">
        <v>348</v>
      </c>
      <c r="C67" s="378" t="s">
        <v>348</v>
      </c>
      <c r="D67" s="378" t="s">
        <v>397</v>
      </c>
      <c r="E67" s="378" t="s">
        <v>361</v>
      </c>
      <c r="F67" s="378" t="s">
        <v>367</v>
      </c>
      <c r="G67" s="333">
        <v>5</v>
      </c>
      <c r="H67" s="333">
        <v>1</v>
      </c>
      <c r="I67" s="346" t="s">
        <v>350</v>
      </c>
      <c r="J67" s="363"/>
      <c r="K67" s="363"/>
      <c r="L67" s="363"/>
      <c r="M67" s="376"/>
      <c r="N67" s="372" t="s">
        <v>377</v>
      </c>
      <c r="O67" s="366">
        <f t="shared" si="15"/>
        <v>252381500</v>
      </c>
      <c r="P67" s="366">
        <f t="shared" si="15"/>
        <v>132429793</v>
      </c>
      <c r="Q67" s="366">
        <f t="shared" si="15"/>
        <v>74348900</v>
      </c>
      <c r="R67" s="366">
        <f t="shared" si="15"/>
        <v>206778693</v>
      </c>
      <c r="S67" s="366">
        <f t="shared" si="15"/>
        <v>199308593</v>
      </c>
      <c r="T67" s="366">
        <f t="shared" si="15"/>
        <v>13809650</v>
      </c>
      <c r="U67" s="366">
        <f t="shared" si="15"/>
        <v>213118243</v>
      </c>
      <c r="V67" s="305">
        <f t="shared" si="3"/>
        <v>39263257</v>
      </c>
      <c r="W67" s="305"/>
      <c r="X67" s="305">
        <f t="shared" si="10"/>
        <v>-6339550</v>
      </c>
      <c r="Y67" s="307">
        <f t="shared" si="0"/>
        <v>0.84442894189946571</v>
      </c>
    </row>
    <row r="68" spans="1:25" s="284" customFormat="1" ht="33" customHeight="1">
      <c r="A68" s="377">
        <v>7</v>
      </c>
      <c r="B68" s="378" t="s">
        <v>348</v>
      </c>
      <c r="C68" s="378" t="s">
        <v>348</v>
      </c>
      <c r="D68" s="378" t="s">
        <v>397</v>
      </c>
      <c r="E68" s="378" t="s">
        <v>361</v>
      </c>
      <c r="F68" s="378" t="s">
        <v>367</v>
      </c>
      <c r="G68" s="333">
        <v>5</v>
      </c>
      <c r="H68" s="333">
        <v>1</v>
      </c>
      <c r="I68" s="346" t="s">
        <v>350</v>
      </c>
      <c r="J68" s="378" t="s">
        <v>348</v>
      </c>
      <c r="K68" s="363"/>
      <c r="L68" s="363"/>
      <c r="M68" s="376"/>
      <c r="N68" s="372" t="s">
        <v>398</v>
      </c>
      <c r="O68" s="366">
        <f>O69+O71</f>
        <v>252381500</v>
      </c>
      <c r="P68" s="366">
        <f t="shared" ref="P68:U68" si="16">P69+P71</f>
        <v>132429793</v>
      </c>
      <c r="Q68" s="366">
        <f t="shared" si="16"/>
        <v>74348900</v>
      </c>
      <c r="R68" s="366">
        <f t="shared" si="16"/>
        <v>206778693</v>
      </c>
      <c r="S68" s="366">
        <f t="shared" si="16"/>
        <v>199308593</v>
      </c>
      <c r="T68" s="366">
        <f t="shared" si="16"/>
        <v>13809650</v>
      </c>
      <c r="U68" s="366">
        <f t="shared" si="16"/>
        <v>213118243</v>
      </c>
      <c r="V68" s="305">
        <f t="shared" si="3"/>
        <v>39263257</v>
      </c>
      <c r="W68" s="305"/>
      <c r="X68" s="305">
        <f t="shared" si="10"/>
        <v>-6339550</v>
      </c>
      <c r="Y68" s="307">
        <f t="shared" si="0"/>
        <v>0.84442894189946571</v>
      </c>
    </row>
    <row r="69" spans="1:25" s="284" customFormat="1" ht="33" customHeight="1">
      <c r="A69" s="332">
        <v>7</v>
      </c>
      <c r="B69" s="346" t="s">
        <v>348</v>
      </c>
      <c r="C69" s="346" t="s">
        <v>348</v>
      </c>
      <c r="D69" s="333">
        <v>2</v>
      </c>
      <c r="E69" s="346" t="s">
        <v>361</v>
      </c>
      <c r="F69" s="346" t="s">
        <v>359</v>
      </c>
      <c r="G69" s="333">
        <v>5</v>
      </c>
      <c r="H69" s="333">
        <v>1</v>
      </c>
      <c r="I69" s="346" t="s">
        <v>350</v>
      </c>
      <c r="J69" s="346" t="s">
        <v>348</v>
      </c>
      <c r="K69" s="346" t="s">
        <v>348</v>
      </c>
      <c r="L69" s="363"/>
      <c r="M69" s="376"/>
      <c r="N69" s="372" t="s">
        <v>379</v>
      </c>
      <c r="O69" s="366">
        <f>O70</f>
        <v>78355000</v>
      </c>
      <c r="P69" s="366">
        <f t="shared" ref="P69:U69" si="17">P70</f>
        <v>49517200</v>
      </c>
      <c r="Q69" s="366">
        <f t="shared" si="17"/>
        <v>13653900</v>
      </c>
      <c r="R69" s="366">
        <f t="shared" si="17"/>
        <v>63171100</v>
      </c>
      <c r="S69" s="366">
        <f t="shared" si="17"/>
        <v>55701000</v>
      </c>
      <c r="T69" s="366">
        <f t="shared" si="17"/>
        <v>12059650</v>
      </c>
      <c r="U69" s="366">
        <f t="shared" si="17"/>
        <v>67760650</v>
      </c>
      <c r="V69" s="305">
        <f t="shared" si="3"/>
        <v>10594350</v>
      </c>
      <c r="W69" s="305"/>
      <c r="X69" s="305">
        <f t="shared" si="10"/>
        <v>-4589550</v>
      </c>
      <c r="Y69" s="307">
        <f t="shared" si="0"/>
        <v>0.86479037712973006</v>
      </c>
    </row>
    <row r="70" spans="1:25" s="284" customFormat="1" ht="33" customHeight="1">
      <c r="A70" s="347">
        <v>7</v>
      </c>
      <c r="B70" s="348" t="s">
        <v>348</v>
      </c>
      <c r="C70" s="348" t="s">
        <v>348</v>
      </c>
      <c r="D70" s="349">
        <v>2</v>
      </c>
      <c r="E70" s="348" t="s">
        <v>361</v>
      </c>
      <c r="F70" s="348" t="s">
        <v>359</v>
      </c>
      <c r="G70" s="349">
        <v>5</v>
      </c>
      <c r="H70" s="349">
        <v>1</v>
      </c>
      <c r="I70" s="348" t="s">
        <v>350</v>
      </c>
      <c r="J70" s="348" t="s">
        <v>348</v>
      </c>
      <c r="K70" s="348" t="s">
        <v>348</v>
      </c>
      <c r="L70" s="348" t="s">
        <v>393</v>
      </c>
      <c r="M70" s="350">
        <v>2</v>
      </c>
      <c r="N70" s="351" t="s">
        <v>399</v>
      </c>
      <c r="O70" s="352">
        <f>'[8]SPJ FUNGSIONAL '!O76</f>
        <v>78355000</v>
      </c>
      <c r="P70" s="353">
        <f>'[9]LRA SP2D'!$R$70</f>
        <v>49517200</v>
      </c>
      <c r="Q70" s="353">
        <v>13653900</v>
      </c>
      <c r="R70" s="353">
        <f t="shared" si="1"/>
        <v>63171100</v>
      </c>
      <c r="S70" s="353">
        <f>'[8]SPJ FUNGSIONAL '!V76</f>
        <v>55701000</v>
      </c>
      <c r="T70" s="353">
        <f>'[8]SPJ FUNGSIONAL '!W76</f>
        <v>12059650</v>
      </c>
      <c r="U70" s="353">
        <f t="shared" si="2"/>
        <v>67760650</v>
      </c>
      <c r="V70" s="353">
        <f t="shared" si="3"/>
        <v>10594350</v>
      </c>
      <c r="W70" s="353"/>
      <c r="X70" s="353">
        <f t="shared" si="10"/>
        <v>-4589550</v>
      </c>
      <c r="Y70" s="354">
        <f t="shared" si="0"/>
        <v>0.86479037712973006</v>
      </c>
    </row>
    <row r="71" spans="1:25" s="284" customFormat="1" ht="33" customHeight="1">
      <c r="A71" s="377">
        <v>7</v>
      </c>
      <c r="B71" s="378" t="s">
        <v>348</v>
      </c>
      <c r="C71" s="378" t="s">
        <v>348</v>
      </c>
      <c r="D71" s="378" t="s">
        <v>397</v>
      </c>
      <c r="E71" s="378" t="s">
        <v>361</v>
      </c>
      <c r="F71" s="378" t="s">
        <v>367</v>
      </c>
      <c r="G71" s="333">
        <v>5</v>
      </c>
      <c r="H71" s="333">
        <v>1</v>
      </c>
      <c r="I71" s="346" t="s">
        <v>350</v>
      </c>
      <c r="J71" s="378" t="s">
        <v>382</v>
      </c>
      <c r="K71" s="363"/>
      <c r="L71" s="363"/>
      <c r="M71" s="376"/>
      <c r="N71" s="372" t="s">
        <v>400</v>
      </c>
      <c r="O71" s="366">
        <f>O72</f>
        <v>174026500</v>
      </c>
      <c r="P71" s="366">
        <f t="shared" ref="P71:U72" si="18">P72</f>
        <v>82912593</v>
      </c>
      <c r="Q71" s="366">
        <f t="shared" si="18"/>
        <v>60695000</v>
      </c>
      <c r="R71" s="366">
        <f t="shared" si="18"/>
        <v>143607593</v>
      </c>
      <c r="S71" s="366">
        <f t="shared" si="18"/>
        <v>143607593</v>
      </c>
      <c r="T71" s="366">
        <f t="shared" si="18"/>
        <v>1750000</v>
      </c>
      <c r="U71" s="366">
        <f t="shared" si="18"/>
        <v>145357593</v>
      </c>
      <c r="V71" s="305">
        <f t="shared" si="3"/>
        <v>28668907</v>
      </c>
      <c r="W71" s="305"/>
      <c r="X71" s="305">
        <f t="shared" si="10"/>
        <v>-1750000</v>
      </c>
      <c r="Y71" s="307">
        <f t="shared" si="0"/>
        <v>0.83526125618799441</v>
      </c>
    </row>
    <row r="72" spans="1:25" s="284" customFormat="1" ht="33" customHeight="1">
      <c r="A72" s="377">
        <v>7</v>
      </c>
      <c r="B72" s="378" t="s">
        <v>348</v>
      </c>
      <c r="C72" s="378" t="s">
        <v>348</v>
      </c>
      <c r="D72" s="378" t="s">
        <v>397</v>
      </c>
      <c r="E72" s="378" t="s">
        <v>361</v>
      </c>
      <c r="F72" s="378" t="s">
        <v>367</v>
      </c>
      <c r="G72" s="333">
        <v>5</v>
      </c>
      <c r="H72" s="333">
        <v>1</v>
      </c>
      <c r="I72" s="346" t="s">
        <v>350</v>
      </c>
      <c r="J72" s="378" t="s">
        <v>382</v>
      </c>
      <c r="K72" s="378" t="s">
        <v>348</v>
      </c>
      <c r="L72" s="379"/>
      <c r="M72" s="380"/>
      <c r="N72" s="374" t="s">
        <v>401</v>
      </c>
      <c r="O72" s="366">
        <f>O73</f>
        <v>174026500</v>
      </c>
      <c r="P72" s="366">
        <f t="shared" si="18"/>
        <v>82912593</v>
      </c>
      <c r="Q72" s="366">
        <f t="shared" si="18"/>
        <v>60695000</v>
      </c>
      <c r="R72" s="366">
        <f t="shared" si="18"/>
        <v>143607593</v>
      </c>
      <c r="S72" s="366">
        <f t="shared" si="18"/>
        <v>143607593</v>
      </c>
      <c r="T72" s="366">
        <f t="shared" si="18"/>
        <v>1750000</v>
      </c>
      <c r="U72" s="366">
        <f t="shared" si="18"/>
        <v>145357593</v>
      </c>
      <c r="V72" s="305">
        <f t="shared" si="3"/>
        <v>28668907</v>
      </c>
      <c r="W72" s="305"/>
      <c r="X72" s="305">
        <f t="shared" si="10"/>
        <v>-1750000</v>
      </c>
      <c r="Y72" s="307">
        <f t="shared" si="0"/>
        <v>0.83526125618799441</v>
      </c>
    </row>
    <row r="73" spans="1:25" s="284" customFormat="1" ht="33" customHeight="1">
      <c r="A73" s="375">
        <v>7</v>
      </c>
      <c r="B73" s="361" t="s">
        <v>348</v>
      </c>
      <c r="C73" s="361" t="s">
        <v>348</v>
      </c>
      <c r="D73" s="361" t="s">
        <v>397</v>
      </c>
      <c r="E73" s="361" t="s">
        <v>361</v>
      </c>
      <c r="F73" s="361" t="s">
        <v>367</v>
      </c>
      <c r="G73" s="349">
        <v>5</v>
      </c>
      <c r="H73" s="349">
        <v>1</v>
      </c>
      <c r="I73" s="348" t="s">
        <v>350</v>
      </c>
      <c r="J73" s="361" t="s">
        <v>382</v>
      </c>
      <c r="K73" s="361" t="s">
        <v>348</v>
      </c>
      <c r="L73" s="361" t="s">
        <v>354</v>
      </c>
      <c r="M73" s="376">
        <v>1</v>
      </c>
      <c r="N73" s="351" t="s">
        <v>402</v>
      </c>
      <c r="O73" s="352">
        <f>'[8]SPJ FUNGSIONAL '!O79</f>
        <v>174026500</v>
      </c>
      <c r="P73" s="353">
        <f>'[9]LRA SP2D'!$R$73</f>
        <v>82912593</v>
      </c>
      <c r="Q73" s="353">
        <v>60695000</v>
      </c>
      <c r="R73" s="353">
        <f t="shared" si="1"/>
        <v>143607593</v>
      </c>
      <c r="S73" s="353">
        <f>'[8]SPJ FUNGSIONAL '!V79</f>
        <v>143607593</v>
      </c>
      <c r="T73" s="353">
        <f>'[8]SPJ FUNGSIONAL '!W79</f>
        <v>1750000</v>
      </c>
      <c r="U73" s="353">
        <f t="shared" si="2"/>
        <v>145357593</v>
      </c>
      <c r="V73" s="353">
        <f t="shared" si="3"/>
        <v>28668907</v>
      </c>
      <c r="W73" s="353"/>
      <c r="X73" s="353">
        <f t="shared" si="10"/>
        <v>-1750000</v>
      </c>
      <c r="Y73" s="354">
        <f t="shared" si="0"/>
        <v>0.83526125618799441</v>
      </c>
    </row>
    <row r="74" spans="1:25" s="284" customFormat="1" ht="25" customHeight="1">
      <c r="A74" s="375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76"/>
      <c r="N74" s="351"/>
      <c r="O74" s="352"/>
      <c r="P74" s="353"/>
      <c r="Q74" s="353"/>
      <c r="R74" s="353">
        <f t="shared" si="1"/>
        <v>0</v>
      </c>
      <c r="S74" s="353"/>
      <c r="T74" s="353"/>
      <c r="U74" s="353">
        <f t="shared" si="2"/>
        <v>0</v>
      </c>
      <c r="V74" s="353">
        <f t="shared" si="3"/>
        <v>0</v>
      </c>
      <c r="W74" s="353">
        <f t="shared" si="11"/>
        <v>0</v>
      </c>
      <c r="X74" s="353">
        <f t="shared" si="10"/>
        <v>0</v>
      </c>
      <c r="Y74" s="354"/>
    </row>
    <row r="75" spans="1:25" s="284" customFormat="1" ht="54" customHeight="1">
      <c r="A75" s="381">
        <v>7</v>
      </c>
      <c r="B75" s="382" t="s">
        <v>348</v>
      </c>
      <c r="C75" s="382" t="s">
        <v>348</v>
      </c>
      <c r="D75" s="383">
        <v>2</v>
      </c>
      <c r="E75" s="382" t="s">
        <v>363</v>
      </c>
      <c r="F75" s="383"/>
      <c r="G75" s="383"/>
      <c r="H75" s="383"/>
      <c r="I75" s="383"/>
      <c r="J75" s="383"/>
      <c r="K75" s="383"/>
      <c r="L75" s="383"/>
      <c r="M75" s="384"/>
      <c r="N75" s="385" t="s">
        <v>403</v>
      </c>
      <c r="O75" s="329">
        <f>O77</f>
        <v>68000000</v>
      </c>
      <c r="P75" s="329">
        <f t="shared" ref="P75:V75" si="19">P77</f>
        <v>68000000</v>
      </c>
      <c r="Q75" s="329">
        <f t="shared" si="19"/>
        <v>0</v>
      </c>
      <c r="R75" s="329">
        <f t="shared" si="19"/>
        <v>68000000</v>
      </c>
      <c r="S75" s="329">
        <f t="shared" si="19"/>
        <v>68000000</v>
      </c>
      <c r="T75" s="329">
        <f t="shared" si="19"/>
        <v>0</v>
      </c>
      <c r="U75" s="329">
        <f t="shared" si="19"/>
        <v>68000000</v>
      </c>
      <c r="V75" s="329">
        <f t="shared" si="19"/>
        <v>0</v>
      </c>
      <c r="W75" s="373"/>
      <c r="X75" s="373"/>
      <c r="Y75" s="331">
        <f t="shared" si="0"/>
        <v>1</v>
      </c>
    </row>
    <row r="76" spans="1:25" s="284" customFormat="1" ht="25" customHeight="1">
      <c r="A76" s="386"/>
      <c r="B76" s="387"/>
      <c r="C76" s="387"/>
      <c r="D76" s="388"/>
      <c r="E76" s="387"/>
      <c r="F76" s="388"/>
      <c r="G76" s="388"/>
      <c r="H76" s="388"/>
      <c r="I76" s="388"/>
      <c r="J76" s="388"/>
      <c r="K76" s="388"/>
      <c r="L76" s="388"/>
      <c r="M76" s="389"/>
      <c r="N76" s="390"/>
      <c r="O76" s="352"/>
      <c r="P76" s="352"/>
      <c r="Q76" s="352"/>
      <c r="R76" s="352"/>
      <c r="S76" s="352"/>
      <c r="T76" s="352"/>
      <c r="U76" s="352"/>
      <c r="V76" s="352"/>
      <c r="W76" s="353"/>
      <c r="X76" s="353"/>
      <c r="Y76" s="354"/>
    </row>
    <row r="77" spans="1:25" s="284" customFormat="1" ht="25" customHeight="1">
      <c r="A77" s="391">
        <v>7</v>
      </c>
      <c r="B77" s="392" t="s">
        <v>348</v>
      </c>
      <c r="C77" s="392" t="s">
        <v>348</v>
      </c>
      <c r="D77" s="392" t="s">
        <v>397</v>
      </c>
      <c r="E77" s="392" t="s">
        <v>363</v>
      </c>
      <c r="F77" s="392" t="s">
        <v>361</v>
      </c>
      <c r="G77" s="393"/>
      <c r="H77" s="393"/>
      <c r="I77" s="392"/>
      <c r="J77" s="394"/>
      <c r="K77" s="394"/>
      <c r="L77" s="394"/>
      <c r="M77" s="395"/>
      <c r="N77" s="396" t="s">
        <v>404</v>
      </c>
      <c r="O77" s="397">
        <f>O78+O82</f>
        <v>68000000</v>
      </c>
      <c r="P77" s="397">
        <f t="shared" ref="P77:V77" si="20">P78+P82</f>
        <v>68000000</v>
      </c>
      <c r="Q77" s="397">
        <f t="shared" si="20"/>
        <v>0</v>
      </c>
      <c r="R77" s="397">
        <f t="shared" si="20"/>
        <v>68000000</v>
      </c>
      <c r="S77" s="397">
        <f t="shared" si="20"/>
        <v>68000000</v>
      </c>
      <c r="T77" s="397">
        <f t="shared" si="20"/>
        <v>0</v>
      </c>
      <c r="U77" s="397">
        <f t="shared" si="20"/>
        <v>68000000</v>
      </c>
      <c r="V77" s="397">
        <f t="shared" si="20"/>
        <v>0</v>
      </c>
      <c r="W77" s="398"/>
      <c r="X77" s="398"/>
      <c r="Y77" s="399"/>
    </row>
    <row r="78" spans="1:25" s="284" customFormat="1" ht="25" customHeight="1">
      <c r="A78" s="400">
        <v>7</v>
      </c>
      <c r="B78" s="401" t="s">
        <v>348</v>
      </c>
      <c r="C78" s="401" t="s">
        <v>348</v>
      </c>
      <c r="D78" s="401" t="s">
        <v>397</v>
      </c>
      <c r="E78" s="401" t="s">
        <v>363</v>
      </c>
      <c r="F78" s="401" t="s">
        <v>361</v>
      </c>
      <c r="G78" s="388">
        <v>5</v>
      </c>
      <c r="H78" s="388">
        <v>1</v>
      </c>
      <c r="I78" s="387"/>
      <c r="J78" s="402"/>
      <c r="K78" s="402"/>
      <c r="L78" s="402"/>
      <c r="M78" s="403"/>
      <c r="N78" s="390" t="s">
        <v>352</v>
      </c>
      <c r="O78" s="366">
        <f>O79</f>
        <v>680000</v>
      </c>
      <c r="P78" s="366">
        <f t="shared" ref="P78:U85" si="21">P79</f>
        <v>680000</v>
      </c>
      <c r="Q78" s="366">
        <f t="shared" si="21"/>
        <v>0</v>
      </c>
      <c r="R78" s="366">
        <f t="shared" si="21"/>
        <v>680000</v>
      </c>
      <c r="S78" s="366">
        <f t="shared" si="21"/>
        <v>680000</v>
      </c>
      <c r="T78" s="366">
        <f t="shared" si="21"/>
        <v>0</v>
      </c>
      <c r="U78" s="366">
        <f t="shared" si="21"/>
        <v>680000</v>
      </c>
      <c r="V78" s="305">
        <f t="shared" ref="V78:V86" si="22">O78-U78</f>
        <v>0</v>
      </c>
      <c r="W78" s="305"/>
      <c r="X78" s="305">
        <f t="shared" ref="X78:X86" si="23">R78-U78</f>
        <v>0</v>
      </c>
      <c r="Y78" s="307">
        <f t="shared" ref="Y78:Y86" si="24">U78/O78*100%</f>
        <v>1</v>
      </c>
    </row>
    <row r="79" spans="1:25" s="284" customFormat="1" ht="39" customHeight="1">
      <c r="A79" s="400">
        <v>7</v>
      </c>
      <c r="B79" s="401" t="s">
        <v>348</v>
      </c>
      <c r="C79" s="401" t="s">
        <v>348</v>
      </c>
      <c r="D79" s="401" t="s">
        <v>397</v>
      </c>
      <c r="E79" s="401" t="s">
        <v>363</v>
      </c>
      <c r="F79" s="401" t="s">
        <v>361</v>
      </c>
      <c r="G79" s="388">
        <v>5</v>
      </c>
      <c r="H79" s="388">
        <v>1</v>
      </c>
      <c r="I79" s="387" t="s">
        <v>348</v>
      </c>
      <c r="J79" s="401" t="s">
        <v>357</v>
      </c>
      <c r="K79" s="402"/>
      <c r="L79" s="402"/>
      <c r="M79" s="403"/>
      <c r="N79" s="404" t="s">
        <v>405</v>
      </c>
      <c r="O79" s="366">
        <f>O80</f>
        <v>680000</v>
      </c>
      <c r="P79" s="366">
        <f t="shared" si="21"/>
        <v>680000</v>
      </c>
      <c r="Q79" s="366">
        <f t="shared" si="21"/>
        <v>0</v>
      </c>
      <c r="R79" s="366">
        <f t="shared" si="21"/>
        <v>680000</v>
      </c>
      <c r="S79" s="366">
        <f t="shared" si="21"/>
        <v>680000</v>
      </c>
      <c r="T79" s="366">
        <f t="shared" si="21"/>
        <v>0</v>
      </c>
      <c r="U79" s="366">
        <f t="shared" si="21"/>
        <v>680000</v>
      </c>
      <c r="V79" s="305">
        <f t="shared" si="22"/>
        <v>0</v>
      </c>
      <c r="W79" s="305"/>
      <c r="X79" s="305">
        <f t="shared" si="23"/>
        <v>0</v>
      </c>
      <c r="Y79" s="307">
        <f t="shared" si="24"/>
        <v>1</v>
      </c>
    </row>
    <row r="80" spans="1:25" s="284" customFormat="1" ht="25" customHeight="1">
      <c r="A80" s="400">
        <v>7</v>
      </c>
      <c r="B80" s="401" t="s">
        <v>348</v>
      </c>
      <c r="C80" s="401" t="s">
        <v>348</v>
      </c>
      <c r="D80" s="401" t="s">
        <v>397</v>
      </c>
      <c r="E80" s="401" t="s">
        <v>363</v>
      </c>
      <c r="F80" s="401" t="s">
        <v>361</v>
      </c>
      <c r="G80" s="388">
        <v>5</v>
      </c>
      <c r="H80" s="388">
        <v>1</v>
      </c>
      <c r="I80" s="387" t="s">
        <v>348</v>
      </c>
      <c r="J80" s="401" t="s">
        <v>357</v>
      </c>
      <c r="K80" s="401" t="s">
        <v>363</v>
      </c>
      <c r="L80" s="402"/>
      <c r="M80" s="403"/>
      <c r="N80" s="404" t="s">
        <v>406</v>
      </c>
      <c r="O80" s="366">
        <f>O81</f>
        <v>680000</v>
      </c>
      <c r="P80" s="366">
        <f t="shared" si="21"/>
        <v>680000</v>
      </c>
      <c r="Q80" s="366">
        <f t="shared" si="21"/>
        <v>0</v>
      </c>
      <c r="R80" s="366">
        <f t="shared" si="21"/>
        <v>680000</v>
      </c>
      <c r="S80" s="366">
        <f t="shared" si="21"/>
        <v>680000</v>
      </c>
      <c r="T80" s="366">
        <f t="shared" si="21"/>
        <v>0</v>
      </c>
      <c r="U80" s="366">
        <f t="shared" si="21"/>
        <v>680000</v>
      </c>
      <c r="V80" s="305">
        <f t="shared" si="22"/>
        <v>0</v>
      </c>
      <c r="W80" s="305"/>
      <c r="X80" s="305">
        <f t="shared" si="23"/>
        <v>0</v>
      </c>
      <c r="Y80" s="307">
        <f t="shared" si="24"/>
        <v>1</v>
      </c>
    </row>
    <row r="81" spans="1:25" s="284" customFormat="1" ht="37.5" customHeight="1">
      <c r="A81" s="405">
        <v>7</v>
      </c>
      <c r="B81" s="406" t="s">
        <v>348</v>
      </c>
      <c r="C81" s="406" t="s">
        <v>348</v>
      </c>
      <c r="D81" s="406" t="s">
        <v>397</v>
      </c>
      <c r="E81" s="406" t="s">
        <v>363</v>
      </c>
      <c r="F81" s="406" t="s">
        <v>361</v>
      </c>
      <c r="G81" s="407">
        <v>5</v>
      </c>
      <c r="H81" s="407">
        <v>1</v>
      </c>
      <c r="I81" s="408" t="s">
        <v>348</v>
      </c>
      <c r="J81" s="406" t="s">
        <v>357</v>
      </c>
      <c r="K81" s="406" t="s">
        <v>363</v>
      </c>
      <c r="L81" s="406" t="s">
        <v>354</v>
      </c>
      <c r="M81" s="403">
        <v>2</v>
      </c>
      <c r="N81" s="409" t="s">
        <v>407</v>
      </c>
      <c r="O81" s="352">
        <f>'[8]SPJ FUNGSIONAL '!O87</f>
        <v>680000</v>
      </c>
      <c r="P81" s="352">
        <f>S81</f>
        <v>680000</v>
      </c>
      <c r="Q81" s="352">
        <f>T81</f>
        <v>0</v>
      </c>
      <c r="R81" s="352">
        <f>SUM(P81:Q81)</f>
        <v>680000</v>
      </c>
      <c r="S81" s="352">
        <f>'[8]SPJ FUNGSIONAL '!V87</f>
        <v>680000</v>
      </c>
      <c r="T81" s="352">
        <f>'[8]SPJ FUNGSIONAL '!W87</f>
        <v>0</v>
      </c>
      <c r="U81" s="352">
        <f>SUM(S81:T81)</f>
        <v>680000</v>
      </c>
      <c r="V81" s="353">
        <f t="shared" si="22"/>
        <v>0</v>
      </c>
      <c r="W81" s="353"/>
      <c r="X81" s="353">
        <f t="shared" si="23"/>
        <v>0</v>
      </c>
      <c r="Y81" s="354">
        <f t="shared" si="24"/>
        <v>1</v>
      </c>
    </row>
    <row r="82" spans="1:25" s="284" customFormat="1" ht="39" customHeight="1">
      <c r="A82" s="400">
        <v>7</v>
      </c>
      <c r="B82" s="401" t="s">
        <v>348</v>
      </c>
      <c r="C82" s="401" t="s">
        <v>348</v>
      </c>
      <c r="D82" s="401" t="s">
        <v>397</v>
      </c>
      <c r="E82" s="401" t="s">
        <v>363</v>
      </c>
      <c r="F82" s="401" t="s">
        <v>361</v>
      </c>
      <c r="G82" s="388">
        <v>5</v>
      </c>
      <c r="H82" s="388">
        <v>2</v>
      </c>
      <c r="I82" s="387"/>
      <c r="J82" s="402"/>
      <c r="K82" s="402"/>
      <c r="L82" s="402"/>
      <c r="M82" s="403"/>
      <c r="N82" s="390" t="s">
        <v>408</v>
      </c>
      <c r="O82" s="366">
        <f>O83</f>
        <v>67320000</v>
      </c>
      <c r="P82" s="366">
        <f t="shared" si="21"/>
        <v>67320000</v>
      </c>
      <c r="Q82" s="366">
        <f t="shared" si="21"/>
        <v>0</v>
      </c>
      <c r="R82" s="366">
        <f t="shared" si="21"/>
        <v>67320000</v>
      </c>
      <c r="S82" s="366">
        <f t="shared" si="21"/>
        <v>67320000</v>
      </c>
      <c r="T82" s="366">
        <f t="shared" si="21"/>
        <v>0</v>
      </c>
      <c r="U82" s="366">
        <f t="shared" si="21"/>
        <v>67320000</v>
      </c>
      <c r="V82" s="305">
        <f t="shared" si="22"/>
        <v>0</v>
      </c>
      <c r="W82" s="305"/>
      <c r="X82" s="305">
        <f t="shared" si="23"/>
        <v>0</v>
      </c>
      <c r="Y82" s="307">
        <f t="shared" si="24"/>
        <v>1</v>
      </c>
    </row>
    <row r="83" spans="1:25" s="284" customFormat="1" ht="39" customHeight="1">
      <c r="A83" s="400">
        <v>7</v>
      </c>
      <c r="B83" s="401" t="s">
        <v>348</v>
      </c>
      <c r="C83" s="401" t="s">
        <v>348</v>
      </c>
      <c r="D83" s="401" t="s">
        <v>397</v>
      </c>
      <c r="E83" s="401" t="s">
        <v>363</v>
      </c>
      <c r="F83" s="401" t="s">
        <v>361</v>
      </c>
      <c r="G83" s="388">
        <v>5</v>
      </c>
      <c r="H83" s="388">
        <v>2</v>
      </c>
      <c r="I83" s="387" t="s">
        <v>350</v>
      </c>
      <c r="J83" s="402"/>
      <c r="K83" s="402"/>
      <c r="L83" s="402"/>
      <c r="M83" s="403"/>
      <c r="N83" s="410" t="s">
        <v>409</v>
      </c>
      <c r="O83" s="366">
        <f>O84</f>
        <v>67320000</v>
      </c>
      <c r="P83" s="366">
        <f t="shared" si="21"/>
        <v>67320000</v>
      </c>
      <c r="Q83" s="366">
        <f t="shared" si="21"/>
        <v>0</v>
      </c>
      <c r="R83" s="366">
        <f t="shared" si="21"/>
        <v>67320000</v>
      </c>
      <c r="S83" s="366">
        <f t="shared" si="21"/>
        <v>67320000</v>
      </c>
      <c r="T83" s="366">
        <f t="shared" si="21"/>
        <v>0</v>
      </c>
      <c r="U83" s="366">
        <f t="shared" si="21"/>
        <v>67320000</v>
      </c>
      <c r="V83" s="305">
        <f t="shared" si="22"/>
        <v>0</v>
      </c>
      <c r="W83" s="305"/>
      <c r="X83" s="305">
        <f t="shared" si="23"/>
        <v>0</v>
      </c>
      <c r="Y83" s="307">
        <f t="shared" si="24"/>
        <v>1</v>
      </c>
    </row>
    <row r="84" spans="1:25" s="284" customFormat="1" ht="39" customHeight="1">
      <c r="A84" s="400">
        <v>7</v>
      </c>
      <c r="B84" s="401" t="s">
        <v>348</v>
      </c>
      <c r="C84" s="401" t="s">
        <v>348</v>
      </c>
      <c r="D84" s="401" t="s">
        <v>397</v>
      </c>
      <c r="E84" s="401" t="s">
        <v>363</v>
      </c>
      <c r="F84" s="401" t="s">
        <v>361</v>
      </c>
      <c r="G84" s="388">
        <v>5</v>
      </c>
      <c r="H84" s="388">
        <v>2</v>
      </c>
      <c r="I84" s="387" t="s">
        <v>350</v>
      </c>
      <c r="J84" s="401" t="s">
        <v>410</v>
      </c>
      <c r="K84" s="402"/>
      <c r="L84" s="402"/>
      <c r="M84" s="403"/>
      <c r="N84" s="410" t="s">
        <v>411</v>
      </c>
      <c r="O84" s="366">
        <f>O85</f>
        <v>67320000</v>
      </c>
      <c r="P84" s="366">
        <f t="shared" si="21"/>
        <v>67320000</v>
      </c>
      <c r="Q84" s="366">
        <f t="shared" si="21"/>
        <v>0</v>
      </c>
      <c r="R84" s="366">
        <f t="shared" si="21"/>
        <v>67320000</v>
      </c>
      <c r="S84" s="366">
        <f t="shared" si="21"/>
        <v>67320000</v>
      </c>
      <c r="T84" s="366">
        <f t="shared" si="21"/>
        <v>0</v>
      </c>
      <c r="U84" s="366">
        <f t="shared" si="21"/>
        <v>67320000</v>
      </c>
      <c r="V84" s="305">
        <f t="shared" si="22"/>
        <v>0</v>
      </c>
      <c r="W84" s="305"/>
      <c r="X84" s="305">
        <f t="shared" si="23"/>
        <v>0</v>
      </c>
      <c r="Y84" s="307">
        <f t="shared" si="24"/>
        <v>1</v>
      </c>
    </row>
    <row r="85" spans="1:25" s="284" customFormat="1" ht="39" customHeight="1">
      <c r="A85" s="400">
        <v>7</v>
      </c>
      <c r="B85" s="401" t="s">
        <v>348</v>
      </c>
      <c r="C85" s="401" t="s">
        <v>348</v>
      </c>
      <c r="D85" s="401" t="s">
        <v>397</v>
      </c>
      <c r="E85" s="401" t="s">
        <v>363</v>
      </c>
      <c r="F85" s="401" t="s">
        <v>361</v>
      </c>
      <c r="G85" s="388">
        <v>5</v>
      </c>
      <c r="H85" s="388">
        <v>2</v>
      </c>
      <c r="I85" s="387" t="s">
        <v>350</v>
      </c>
      <c r="J85" s="401" t="s">
        <v>410</v>
      </c>
      <c r="K85" s="401" t="s">
        <v>348</v>
      </c>
      <c r="L85" s="406"/>
      <c r="M85" s="403"/>
      <c r="N85" s="410" t="s">
        <v>412</v>
      </c>
      <c r="O85" s="366">
        <f>O86</f>
        <v>67320000</v>
      </c>
      <c r="P85" s="366">
        <f t="shared" si="21"/>
        <v>67320000</v>
      </c>
      <c r="Q85" s="366">
        <f t="shared" si="21"/>
        <v>0</v>
      </c>
      <c r="R85" s="366">
        <f t="shared" si="21"/>
        <v>67320000</v>
      </c>
      <c r="S85" s="366">
        <f t="shared" si="21"/>
        <v>67320000</v>
      </c>
      <c r="T85" s="366">
        <f t="shared" si="21"/>
        <v>0</v>
      </c>
      <c r="U85" s="366">
        <f t="shared" si="21"/>
        <v>67320000</v>
      </c>
      <c r="V85" s="305">
        <f t="shared" si="22"/>
        <v>0</v>
      </c>
      <c r="W85" s="305"/>
      <c r="X85" s="305">
        <f t="shared" si="23"/>
        <v>0</v>
      </c>
      <c r="Y85" s="307">
        <f t="shared" si="24"/>
        <v>1</v>
      </c>
    </row>
    <row r="86" spans="1:25" s="284" customFormat="1" ht="39" customHeight="1">
      <c r="A86" s="405">
        <v>7</v>
      </c>
      <c r="B86" s="406" t="s">
        <v>348</v>
      </c>
      <c r="C86" s="406" t="s">
        <v>348</v>
      </c>
      <c r="D86" s="406" t="s">
        <v>397</v>
      </c>
      <c r="E86" s="406" t="s">
        <v>363</v>
      </c>
      <c r="F86" s="406" t="s">
        <v>361</v>
      </c>
      <c r="G86" s="407">
        <v>5</v>
      </c>
      <c r="H86" s="407">
        <v>2</v>
      </c>
      <c r="I86" s="408" t="s">
        <v>350</v>
      </c>
      <c r="J86" s="406" t="s">
        <v>410</v>
      </c>
      <c r="K86" s="406" t="s">
        <v>348</v>
      </c>
      <c r="L86" s="406" t="s">
        <v>354</v>
      </c>
      <c r="M86" s="403">
        <v>2</v>
      </c>
      <c r="N86" s="409" t="s">
        <v>413</v>
      </c>
      <c r="O86" s="352">
        <f>'[8]SPJ FUNGSIONAL '!O92</f>
        <v>67320000</v>
      </c>
      <c r="P86" s="352">
        <f>S86</f>
        <v>67320000</v>
      </c>
      <c r="Q86" s="352">
        <f>T86</f>
        <v>0</v>
      </c>
      <c r="R86" s="352">
        <f>SUM(P86:Q86)</f>
        <v>67320000</v>
      </c>
      <c r="S86" s="352">
        <f>'[8]SPJ FUNGSIONAL '!U92</f>
        <v>67320000</v>
      </c>
      <c r="T86" s="352">
        <f>'[8]SPJ FUNGSIONAL '!T92</f>
        <v>0</v>
      </c>
      <c r="U86" s="352">
        <f>SUM(S86:T86)</f>
        <v>67320000</v>
      </c>
      <c r="V86" s="353">
        <f t="shared" si="22"/>
        <v>0</v>
      </c>
      <c r="W86" s="353"/>
      <c r="X86" s="353">
        <f t="shared" si="23"/>
        <v>0</v>
      </c>
      <c r="Y86" s="354">
        <f t="shared" si="24"/>
        <v>1</v>
      </c>
    </row>
    <row r="87" spans="1:25" s="284" customFormat="1" ht="25" customHeight="1">
      <c r="A87" s="375"/>
      <c r="B87" s="363"/>
      <c r="C87" s="363"/>
      <c r="D87" s="363"/>
      <c r="E87" s="363"/>
      <c r="F87" s="363"/>
      <c r="G87" s="363"/>
      <c r="H87" s="363"/>
      <c r="I87" s="363"/>
      <c r="J87" s="363"/>
      <c r="K87" s="363"/>
      <c r="L87" s="363"/>
      <c r="M87" s="376"/>
      <c r="N87" s="351"/>
      <c r="O87" s="352"/>
      <c r="P87" s="366"/>
      <c r="Q87" s="366"/>
      <c r="R87" s="366"/>
      <c r="S87" s="366"/>
      <c r="T87" s="366"/>
      <c r="U87" s="366"/>
      <c r="V87" s="305"/>
      <c r="W87" s="305"/>
      <c r="X87" s="305"/>
      <c r="Y87" s="307"/>
    </row>
    <row r="88" spans="1:25" s="284" customFormat="1" ht="36.75" customHeight="1">
      <c r="A88" s="324">
        <v>7</v>
      </c>
      <c r="B88" s="325" t="s">
        <v>348</v>
      </c>
      <c r="C88" s="325" t="s">
        <v>348</v>
      </c>
      <c r="D88" s="326">
        <v>2</v>
      </c>
      <c r="E88" s="325" t="s">
        <v>365</v>
      </c>
      <c r="F88" s="326"/>
      <c r="G88" s="326"/>
      <c r="H88" s="326"/>
      <c r="I88" s="326"/>
      <c r="J88" s="326"/>
      <c r="K88" s="326"/>
      <c r="L88" s="326"/>
      <c r="M88" s="327"/>
      <c r="N88" s="328" t="s">
        <v>414</v>
      </c>
      <c r="O88" s="329">
        <f>O90+O96+O104</f>
        <v>1144355033</v>
      </c>
      <c r="P88" s="330">
        <f>P90+P96+P104</f>
        <v>897354062</v>
      </c>
      <c r="Q88" s="330">
        <f>Q90+Q96+Q104</f>
        <v>89648083</v>
      </c>
      <c r="R88" s="330">
        <f t="shared" si="1"/>
        <v>987002145</v>
      </c>
      <c r="S88" s="330">
        <f>S90+S96+S104</f>
        <v>898567516</v>
      </c>
      <c r="T88" s="330">
        <f>T90+T96+T104</f>
        <v>170514455</v>
      </c>
      <c r="U88" s="330">
        <f t="shared" si="2"/>
        <v>1069081971</v>
      </c>
      <c r="V88" s="330">
        <f t="shared" si="3"/>
        <v>75273062</v>
      </c>
      <c r="W88" s="330"/>
      <c r="X88" s="330">
        <f>R88-U88</f>
        <v>-82079826</v>
      </c>
      <c r="Y88" s="331">
        <f t="shared" si="0"/>
        <v>0.93422228257023798</v>
      </c>
    </row>
    <row r="89" spans="1:25" s="284" customFormat="1" ht="25" customHeight="1">
      <c r="A89" s="332"/>
      <c r="B89" s="333"/>
      <c r="C89" s="333"/>
      <c r="D89" s="333"/>
      <c r="E89" s="333"/>
      <c r="F89" s="333"/>
      <c r="G89" s="333"/>
      <c r="H89" s="333"/>
      <c r="I89" s="333"/>
      <c r="J89" s="333"/>
      <c r="K89" s="333"/>
      <c r="L89" s="333"/>
      <c r="M89" s="334"/>
      <c r="N89" s="372"/>
      <c r="O89" s="336"/>
      <c r="P89" s="337"/>
      <c r="Q89" s="337"/>
      <c r="R89" s="305">
        <f t="shared" si="1"/>
        <v>0</v>
      </c>
      <c r="S89" s="337"/>
      <c r="T89" s="337"/>
      <c r="U89" s="305"/>
      <c r="V89" s="305"/>
      <c r="W89" s="305"/>
      <c r="X89" s="305"/>
      <c r="Y89" s="307"/>
    </row>
    <row r="90" spans="1:25" s="284" customFormat="1" ht="35.25" customHeight="1">
      <c r="A90" s="338">
        <v>7</v>
      </c>
      <c r="B90" s="339" t="s">
        <v>348</v>
      </c>
      <c r="C90" s="339" t="s">
        <v>348</v>
      </c>
      <c r="D90" s="340">
        <v>2</v>
      </c>
      <c r="E90" s="339" t="s">
        <v>365</v>
      </c>
      <c r="F90" s="339" t="s">
        <v>348</v>
      </c>
      <c r="G90" s="340"/>
      <c r="H90" s="340"/>
      <c r="I90" s="340"/>
      <c r="J90" s="340"/>
      <c r="K90" s="340"/>
      <c r="L90" s="340"/>
      <c r="M90" s="341"/>
      <c r="N90" s="370" t="s">
        <v>134</v>
      </c>
      <c r="O90" s="343">
        <f>O91</f>
        <v>6290000</v>
      </c>
      <c r="P90" s="344">
        <f t="shared" ref="P90:Q93" si="25">P91</f>
        <v>4178000</v>
      </c>
      <c r="Q90" s="344">
        <f t="shared" si="25"/>
        <v>170000</v>
      </c>
      <c r="R90" s="344">
        <f t="shared" si="1"/>
        <v>4348000</v>
      </c>
      <c r="S90" s="344">
        <f t="shared" ref="S90:T93" si="26">S91</f>
        <v>4348000</v>
      </c>
      <c r="T90" s="344">
        <f t="shared" si="26"/>
        <v>300000</v>
      </c>
      <c r="U90" s="344">
        <f t="shared" si="2"/>
        <v>4648000</v>
      </c>
      <c r="V90" s="344">
        <f t="shared" si="3"/>
        <v>1642000</v>
      </c>
      <c r="W90" s="344"/>
      <c r="X90" s="344">
        <f t="shared" si="10"/>
        <v>-300000</v>
      </c>
      <c r="Y90" s="371">
        <f t="shared" si="0"/>
        <v>0.73895071542130364</v>
      </c>
    </row>
    <row r="91" spans="1:25" s="284" customFormat="1" ht="35.25" customHeight="1">
      <c r="A91" s="332">
        <v>7</v>
      </c>
      <c r="B91" s="346" t="s">
        <v>348</v>
      </c>
      <c r="C91" s="346" t="s">
        <v>348</v>
      </c>
      <c r="D91" s="333">
        <v>2</v>
      </c>
      <c r="E91" s="346" t="s">
        <v>365</v>
      </c>
      <c r="F91" s="346" t="s">
        <v>348</v>
      </c>
      <c r="G91" s="333">
        <v>5</v>
      </c>
      <c r="H91" s="333">
        <v>1</v>
      </c>
      <c r="I91" s="346" t="s">
        <v>350</v>
      </c>
      <c r="J91" s="363"/>
      <c r="K91" s="363"/>
      <c r="L91" s="363"/>
      <c r="M91" s="376"/>
      <c r="N91" s="372" t="s">
        <v>377</v>
      </c>
      <c r="O91" s="366">
        <f>O92</f>
        <v>6290000</v>
      </c>
      <c r="P91" s="305">
        <f t="shared" si="25"/>
        <v>4178000</v>
      </c>
      <c r="Q91" s="305">
        <f t="shared" si="25"/>
        <v>170000</v>
      </c>
      <c r="R91" s="305">
        <f t="shared" ref="R91:R154" si="27">P91+Q91</f>
        <v>4348000</v>
      </c>
      <c r="S91" s="305">
        <f t="shared" si="26"/>
        <v>4348000</v>
      </c>
      <c r="T91" s="305">
        <f t="shared" si="26"/>
        <v>300000</v>
      </c>
      <c r="U91" s="305">
        <f t="shared" ref="U91:U154" si="28">S91+T91</f>
        <v>4648000</v>
      </c>
      <c r="V91" s="305">
        <f t="shared" ref="V91:V154" si="29">O91-U91</f>
        <v>1642000</v>
      </c>
      <c r="W91" s="305"/>
      <c r="X91" s="305">
        <f t="shared" si="10"/>
        <v>-300000</v>
      </c>
      <c r="Y91" s="307">
        <f t="shared" ref="Y91:Y154" si="30">U91/O91*100%</f>
        <v>0.73895071542130364</v>
      </c>
    </row>
    <row r="92" spans="1:25" s="284" customFormat="1" ht="35.25" customHeight="1">
      <c r="A92" s="332">
        <v>7</v>
      </c>
      <c r="B92" s="346" t="s">
        <v>348</v>
      </c>
      <c r="C92" s="346" t="s">
        <v>348</v>
      </c>
      <c r="D92" s="333">
        <v>2</v>
      </c>
      <c r="E92" s="346" t="s">
        <v>365</v>
      </c>
      <c r="F92" s="346" t="s">
        <v>348</v>
      </c>
      <c r="G92" s="333">
        <v>5</v>
      </c>
      <c r="H92" s="333">
        <v>1</v>
      </c>
      <c r="I92" s="346" t="s">
        <v>350</v>
      </c>
      <c r="J92" s="378" t="s">
        <v>348</v>
      </c>
      <c r="K92" s="363"/>
      <c r="L92" s="363"/>
      <c r="M92" s="376"/>
      <c r="N92" s="374" t="s">
        <v>378</v>
      </c>
      <c r="O92" s="366">
        <f>O93</f>
        <v>6290000</v>
      </c>
      <c r="P92" s="305">
        <f t="shared" si="25"/>
        <v>4178000</v>
      </c>
      <c r="Q92" s="305">
        <f t="shared" si="25"/>
        <v>170000</v>
      </c>
      <c r="R92" s="305">
        <f t="shared" si="27"/>
        <v>4348000</v>
      </c>
      <c r="S92" s="305">
        <f t="shared" si="26"/>
        <v>4348000</v>
      </c>
      <c r="T92" s="305">
        <f t="shared" si="26"/>
        <v>300000</v>
      </c>
      <c r="U92" s="305">
        <f t="shared" si="28"/>
        <v>4648000</v>
      </c>
      <c r="V92" s="305">
        <f t="shared" si="29"/>
        <v>1642000</v>
      </c>
      <c r="W92" s="305"/>
      <c r="X92" s="305">
        <f t="shared" si="10"/>
        <v>-300000</v>
      </c>
      <c r="Y92" s="307">
        <f t="shared" si="30"/>
        <v>0.73895071542130364</v>
      </c>
    </row>
    <row r="93" spans="1:25" s="284" customFormat="1" ht="35.25" customHeight="1">
      <c r="A93" s="332">
        <v>7</v>
      </c>
      <c r="B93" s="346" t="s">
        <v>348</v>
      </c>
      <c r="C93" s="346" t="s">
        <v>348</v>
      </c>
      <c r="D93" s="333">
        <v>2</v>
      </c>
      <c r="E93" s="346" t="s">
        <v>365</v>
      </c>
      <c r="F93" s="346" t="s">
        <v>348</v>
      </c>
      <c r="G93" s="333">
        <v>5</v>
      </c>
      <c r="H93" s="333">
        <v>1</v>
      </c>
      <c r="I93" s="346" t="s">
        <v>350</v>
      </c>
      <c r="J93" s="378" t="s">
        <v>348</v>
      </c>
      <c r="K93" s="378" t="s">
        <v>348</v>
      </c>
      <c r="L93" s="363"/>
      <c r="M93" s="376"/>
      <c r="N93" s="372" t="s">
        <v>379</v>
      </c>
      <c r="O93" s="366">
        <f>O94</f>
        <v>6290000</v>
      </c>
      <c r="P93" s="305">
        <f t="shared" si="25"/>
        <v>4178000</v>
      </c>
      <c r="Q93" s="305">
        <f t="shared" si="25"/>
        <v>170000</v>
      </c>
      <c r="R93" s="305">
        <f t="shared" si="27"/>
        <v>4348000</v>
      </c>
      <c r="S93" s="305">
        <f t="shared" si="26"/>
        <v>4348000</v>
      </c>
      <c r="T93" s="305">
        <f t="shared" si="26"/>
        <v>300000</v>
      </c>
      <c r="U93" s="305">
        <f t="shared" si="28"/>
        <v>4648000</v>
      </c>
      <c r="V93" s="305">
        <f t="shared" si="29"/>
        <v>1642000</v>
      </c>
      <c r="W93" s="305"/>
      <c r="X93" s="305">
        <f t="shared" si="10"/>
        <v>-300000</v>
      </c>
      <c r="Y93" s="307">
        <f t="shared" si="30"/>
        <v>0.73895071542130364</v>
      </c>
    </row>
    <row r="94" spans="1:25" s="284" customFormat="1" ht="35.25" customHeight="1">
      <c r="A94" s="347">
        <v>7</v>
      </c>
      <c r="B94" s="348" t="s">
        <v>348</v>
      </c>
      <c r="C94" s="348" t="s">
        <v>348</v>
      </c>
      <c r="D94" s="349">
        <v>2</v>
      </c>
      <c r="E94" s="348" t="s">
        <v>365</v>
      </c>
      <c r="F94" s="348" t="s">
        <v>348</v>
      </c>
      <c r="G94" s="349">
        <v>5</v>
      </c>
      <c r="H94" s="349">
        <v>1</v>
      </c>
      <c r="I94" s="348" t="s">
        <v>350</v>
      </c>
      <c r="J94" s="361" t="s">
        <v>348</v>
      </c>
      <c r="K94" s="361" t="s">
        <v>348</v>
      </c>
      <c r="L94" s="361" t="s">
        <v>384</v>
      </c>
      <c r="M94" s="376">
        <v>7</v>
      </c>
      <c r="N94" s="351" t="s">
        <v>415</v>
      </c>
      <c r="O94" s="352">
        <f>'[8]SPJ FUNGSIONAL '!O100</f>
        <v>6290000</v>
      </c>
      <c r="P94" s="353">
        <f>'[9]LRA SP2D'!$R$94</f>
        <v>4178000</v>
      </c>
      <c r="Q94" s="353">
        <v>170000</v>
      </c>
      <c r="R94" s="353">
        <f t="shared" si="27"/>
        <v>4348000</v>
      </c>
      <c r="S94" s="353">
        <f>'[8]SPJ FUNGSIONAL '!V100</f>
        <v>4348000</v>
      </c>
      <c r="T94" s="353">
        <f>'[8]SPJ FUNGSIONAL '!W100</f>
        <v>300000</v>
      </c>
      <c r="U94" s="353">
        <f t="shared" si="28"/>
        <v>4648000</v>
      </c>
      <c r="V94" s="353">
        <f t="shared" si="29"/>
        <v>1642000</v>
      </c>
      <c r="W94" s="353"/>
      <c r="X94" s="353">
        <f t="shared" si="10"/>
        <v>-300000</v>
      </c>
      <c r="Y94" s="354">
        <f t="shared" si="30"/>
        <v>0.73895071542130364</v>
      </c>
    </row>
    <row r="95" spans="1:25" s="284" customFormat="1" ht="25" customHeight="1">
      <c r="A95" s="347"/>
      <c r="B95" s="349"/>
      <c r="C95" s="349"/>
      <c r="D95" s="349"/>
      <c r="E95" s="349"/>
      <c r="F95" s="349"/>
      <c r="G95" s="349"/>
      <c r="H95" s="349"/>
      <c r="I95" s="349"/>
      <c r="J95" s="363"/>
      <c r="K95" s="363"/>
      <c r="L95" s="363"/>
      <c r="M95" s="376"/>
      <c r="N95" s="351"/>
      <c r="O95" s="352"/>
      <c r="P95" s="353"/>
      <c r="Q95" s="353"/>
      <c r="R95" s="353">
        <f t="shared" si="27"/>
        <v>0</v>
      </c>
      <c r="S95" s="353"/>
      <c r="T95" s="353"/>
      <c r="U95" s="353">
        <f t="shared" si="28"/>
        <v>0</v>
      </c>
      <c r="V95" s="353">
        <f t="shared" si="29"/>
        <v>0</v>
      </c>
      <c r="W95" s="353">
        <f t="shared" ref="W95:W143" si="31">R95-U95</f>
        <v>0</v>
      </c>
      <c r="X95" s="353">
        <f t="shared" si="10"/>
        <v>0</v>
      </c>
      <c r="Y95" s="354"/>
    </row>
    <row r="96" spans="1:25" s="284" customFormat="1" ht="36.75" customHeight="1">
      <c r="A96" s="338">
        <v>7</v>
      </c>
      <c r="B96" s="339" t="s">
        <v>348</v>
      </c>
      <c r="C96" s="339" t="s">
        <v>348</v>
      </c>
      <c r="D96" s="340">
        <v>2</v>
      </c>
      <c r="E96" s="339" t="s">
        <v>365</v>
      </c>
      <c r="F96" s="339" t="s">
        <v>350</v>
      </c>
      <c r="G96" s="340"/>
      <c r="H96" s="340"/>
      <c r="I96" s="340"/>
      <c r="J96" s="340"/>
      <c r="K96" s="340"/>
      <c r="L96" s="340"/>
      <c r="M96" s="341"/>
      <c r="N96" s="370" t="s">
        <v>416</v>
      </c>
      <c r="O96" s="343">
        <f t="shared" ref="O96:Q97" si="32">O97</f>
        <v>84029033</v>
      </c>
      <c r="P96" s="344">
        <f t="shared" si="32"/>
        <v>53158702</v>
      </c>
      <c r="Q96" s="344">
        <f t="shared" si="32"/>
        <v>7817651</v>
      </c>
      <c r="R96" s="344">
        <f t="shared" si="27"/>
        <v>60976353</v>
      </c>
      <c r="S96" s="344">
        <f>S97</f>
        <v>54161452</v>
      </c>
      <c r="T96" s="344">
        <f>T97</f>
        <v>6191911</v>
      </c>
      <c r="U96" s="344">
        <f t="shared" si="28"/>
        <v>60353363</v>
      </c>
      <c r="V96" s="344">
        <f t="shared" si="29"/>
        <v>23675670</v>
      </c>
      <c r="W96" s="344"/>
      <c r="X96" s="344"/>
      <c r="Y96" s="371">
        <f t="shared" si="30"/>
        <v>0.71824416925040657</v>
      </c>
    </row>
    <row r="97" spans="1:25" s="284" customFormat="1" ht="35.25" customHeight="1">
      <c r="A97" s="332">
        <v>7</v>
      </c>
      <c r="B97" s="346" t="s">
        <v>348</v>
      </c>
      <c r="C97" s="346" t="s">
        <v>348</v>
      </c>
      <c r="D97" s="333">
        <v>2</v>
      </c>
      <c r="E97" s="346" t="s">
        <v>365</v>
      </c>
      <c r="F97" s="346" t="s">
        <v>350</v>
      </c>
      <c r="G97" s="333">
        <v>5</v>
      </c>
      <c r="H97" s="333">
        <v>1</v>
      </c>
      <c r="I97" s="346" t="s">
        <v>350</v>
      </c>
      <c r="J97" s="378" t="s">
        <v>350</v>
      </c>
      <c r="K97" s="363"/>
      <c r="L97" s="363"/>
      <c r="M97" s="376"/>
      <c r="N97" s="374" t="s">
        <v>391</v>
      </c>
      <c r="O97" s="366">
        <f t="shared" si="32"/>
        <v>84029033</v>
      </c>
      <c r="P97" s="305">
        <f t="shared" si="32"/>
        <v>53158702</v>
      </c>
      <c r="Q97" s="305">
        <f t="shared" si="32"/>
        <v>7817651</v>
      </c>
      <c r="R97" s="305">
        <f t="shared" si="27"/>
        <v>60976353</v>
      </c>
      <c r="S97" s="305">
        <f>S98</f>
        <v>54161452</v>
      </c>
      <c r="T97" s="305">
        <f>T98</f>
        <v>6191911</v>
      </c>
      <c r="U97" s="305">
        <f t="shared" si="28"/>
        <v>60353363</v>
      </c>
      <c r="V97" s="305">
        <f t="shared" si="29"/>
        <v>23675670</v>
      </c>
      <c r="W97" s="305"/>
      <c r="X97" s="305"/>
      <c r="Y97" s="307">
        <f t="shared" si="30"/>
        <v>0.71824416925040657</v>
      </c>
    </row>
    <row r="98" spans="1:25" s="284" customFormat="1" ht="35.25" customHeight="1">
      <c r="A98" s="332">
        <v>7</v>
      </c>
      <c r="B98" s="346" t="s">
        <v>348</v>
      </c>
      <c r="C98" s="346" t="s">
        <v>348</v>
      </c>
      <c r="D98" s="333">
        <v>2</v>
      </c>
      <c r="E98" s="346" t="s">
        <v>365</v>
      </c>
      <c r="F98" s="346" t="s">
        <v>350</v>
      </c>
      <c r="G98" s="333">
        <v>5</v>
      </c>
      <c r="H98" s="333">
        <v>1</v>
      </c>
      <c r="I98" s="346" t="s">
        <v>350</v>
      </c>
      <c r="J98" s="378" t="s">
        <v>350</v>
      </c>
      <c r="K98" s="378" t="s">
        <v>348</v>
      </c>
      <c r="L98" s="363"/>
      <c r="M98" s="376"/>
      <c r="N98" s="374" t="s">
        <v>392</v>
      </c>
      <c r="O98" s="366">
        <f>SUM(O99:O102)</f>
        <v>84029033</v>
      </c>
      <c r="P98" s="305">
        <f>SUM(P99:P102)</f>
        <v>53158702</v>
      </c>
      <c r="Q98" s="305">
        <f>SUM(Q99:Q102)</f>
        <v>7817651</v>
      </c>
      <c r="R98" s="305">
        <f t="shared" si="27"/>
        <v>60976353</v>
      </c>
      <c r="S98" s="305">
        <f>SUM(S99:S102)</f>
        <v>54161452</v>
      </c>
      <c r="T98" s="305">
        <f>SUM(T99:T102)</f>
        <v>6191911</v>
      </c>
      <c r="U98" s="305">
        <f t="shared" si="28"/>
        <v>60353363</v>
      </c>
      <c r="V98" s="305">
        <f t="shared" si="29"/>
        <v>23675670</v>
      </c>
      <c r="W98" s="305"/>
      <c r="X98" s="305"/>
      <c r="Y98" s="307">
        <f t="shared" si="30"/>
        <v>0.71824416925040657</v>
      </c>
    </row>
    <row r="99" spans="1:25" s="284" customFormat="1" ht="35.25" customHeight="1">
      <c r="A99" s="411">
        <v>7</v>
      </c>
      <c r="B99" s="408" t="s">
        <v>348</v>
      </c>
      <c r="C99" s="408" t="s">
        <v>348</v>
      </c>
      <c r="D99" s="407">
        <v>2</v>
      </c>
      <c r="E99" s="408" t="s">
        <v>365</v>
      </c>
      <c r="F99" s="408" t="s">
        <v>350</v>
      </c>
      <c r="G99" s="407">
        <v>5</v>
      </c>
      <c r="H99" s="407">
        <v>1</v>
      </c>
      <c r="I99" s="408" t="s">
        <v>350</v>
      </c>
      <c r="J99" s="406" t="s">
        <v>350</v>
      </c>
      <c r="K99" s="406" t="s">
        <v>348</v>
      </c>
      <c r="L99" s="406" t="s">
        <v>393</v>
      </c>
      <c r="M99" s="403">
        <v>2</v>
      </c>
      <c r="N99" s="412" t="s">
        <v>417</v>
      </c>
      <c r="O99" s="352">
        <f>'[8]SPJ FUNGSIONAL '!O105</f>
        <v>600000</v>
      </c>
      <c r="P99" s="353">
        <f>'[9]LRA SP2D'!$R$99</f>
        <v>350000</v>
      </c>
      <c r="Q99" s="353">
        <f>T99</f>
        <v>50000</v>
      </c>
      <c r="R99" s="353">
        <f>SUM(P99:Q99)</f>
        <v>400000</v>
      </c>
      <c r="S99" s="353">
        <f>'[8]SPJ FUNGSIONAL '!V105</f>
        <v>350000</v>
      </c>
      <c r="T99" s="353">
        <f>'[8]SPJ FUNGSIONAL '!W105</f>
        <v>50000</v>
      </c>
      <c r="U99" s="353">
        <f>SUM(S99:T99)</f>
        <v>400000</v>
      </c>
      <c r="V99" s="353">
        <f t="shared" si="29"/>
        <v>200000</v>
      </c>
      <c r="W99" s="305"/>
      <c r="X99" s="305"/>
      <c r="Y99" s="354">
        <f t="shared" si="30"/>
        <v>0.66666666666666663</v>
      </c>
    </row>
    <row r="100" spans="1:25" s="284" customFormat="1" ht="35.25" customHeight="1">
      <c r="A100" s="347">
        <v>7</v>
      </c>
      <c r="B100" s="348" t="s">
        <v>348</v>
      </c>
      <c r="C100" s="348" t="s">
        <v>348</v>
      </c>
      <c r="D100" s="349">
        <v>2</v>
      </c>
      <c r="E100" s="348" t="s">
        <v>365</v>
      </c>
      <c r="F100" s="348" t="s">
        <v>350</v>
      </c>
      <c r="G100" s="349">
        <v>5</v>
      </c>
      <c r="H100" s="349">
        <v>1</v>
      </c>
      <c r="I100" s="348" t="s">
        <v>350</v>
      </c>
      <c r="J100" s="361" t="s">
        <v>350</v>
      </c>
      <c r="K100" s="361" t="s">
        <v>348</v>
      </c>
      <c r="L100" s="361" t="s">
        <v>393</v>
      </c>
      <c r="M100" s="376">
        <v>9</v>
      </c>
      <c r="N100" s="351" t="s">
        <v>418</v>
      </c>
      <c r="O100" s="352">
        <f>'[8]SPJ FUNGSIONAL '!O106</f>
        <v>6003000</v>
      </c>
      <c r="P100" s="353">
        <f>'[9]LRA SP2D'!$R$100</f>
        <v>3339302</v>
      </c>
      <c r="Q100" s="353">
        <f>T100</f>
        <v>263915</v>
      </c>
      <c r="R100" s="353">
        <f t="shared" si="27"/>
        <v>3603217</v>
      </c>
      <c r="S100" s="353">
        <f>'[8]SPJ FUNGSIONAL '!V106</f>
        <v>3339302</v>
      </c>
      <c r="T100" s="353">
        <f>'[8]SPJ FUNGSIONAL '!W106</f>
        <v>263915</v>
      </c>
      <c r="U100" s="353">
        <f t="shared" si="28"/>
        <v>3603217</v>
      </c>
      <c r="V100" s="353">
        <f t="shared" si="29"/>
        <v>2399783</v>
      </c>
      <c r="W100" s="353"/>
      <c r="X100" s="353">
        <f t="shared" si="10"/>
        <v>0</v>
      </c>
      <c r="Y100" s="354">
        <f t="shared" si="30"/>
        <v>0.60023604864234548</v>
      </c>
    </row>
    <row r="101" spans="1:25" s="284" customFormat="1" ht="35.25" customHeight="1">
      <c r="A101" s="347">
        <v>7</v>
      </c>
      <c r="B101" s="348" t="s">
        <v>348</v>
      </c>
      <c r="C101" s="348" t="s">
        <v>348</v>
      </c>
      <c r="D101" s="349">
        <v>2</v>
      </c>
      <c r="E101" s="348" t="s">
        <v>365</v>
      </c>
      <c r="F101" s="348" t="s">
        <v>350</v>
      </c>
      <c r="G101" s="349">
        <v>5</v>
      </c>
      <c r="H101" s="349">
        <v>1</v>
      </c>
      <c r="I101" s="348" t="s">
        <v>350</v>
      </c>
      <c r="J101" s="361" t="s">
        <v>350</v>
      </c>
      <c r="K101" s="361" t="s">
        <v>348</v>
      </c>
      <c r="L101" s="361" t="s">
        <v>419</v>
      </c>
      <c r="M101" s="413" t="s">
        <v>420</v>
      </c>
      <c r="N101" s="351" t="s">
        <v>421</v>
      </c>
      <c r="O101" s="352">
        <f>'[8]SPJ FUNGSIONAL '!O107</f>
        <v>32571000</v>
      </c>
      <c r="P101" s="353">
        <f>'[9]LRA SP2D'!$R$101</f>
        <v>21550124</v>
      </c>
      <c r="Q101" s="353">
        <v>1615600</v>
      </c>
      <c r="R101" s="353">
        <f t="shared" si="27"/>
        <v>23165724</v>
      </c>
      <c r="S101" s="353">
        <f>'[8]SPJ FUNGSIONAL '!V107</f>
        <v>21550124</v>
      </c>
      <c r="T101" s="353">
        <f>'[8]SPJ FUNGSIONAL '!W107</f>
        <v>1615600</v>
      </c>
      <c r="U101" s="353">
        <f t="shared" si="28"/>
        <v>23165724</v>
      </c>
      <c r="V101" s="353">
        <f t="shared" si="29"/>
        <v>9405276</v>
      </c>
      <c r="W101" s="353"/>
      <c r="X101" s="353">
        <f t="shared" si="10"/>
        <v>0</v>
      </c>
      <c r="Y101" s="354">
        <f t="shared" si="30"/>
        <v>0.71123772681219488</v>
      </c>
    </row>
    <row r="102" spans="1:25" s="284" customFormat="1" ht="35.25" customHeight="1">
      <c r="A102" s="347">
        <v>7</v>
      </c>
      <c r="B102" s="348" t="s">
        <v>348</v>
      </c>
      <c r="C102" s="348" t="s">
        <v>348</v>
      </c>
      <c r="D102" s="349">
        <v>2</v>
      </c>
      <c r="E102" s="348" t="s">
        <v>365</v>
      </c>
      <c r="F102" s="348" t="s">
        <v>350</v>
      </c>
      <c r="G102" s="349">
        <v>5</v>
      </c>
      <c r="H102" s="349">
        <v>1</v>
      </c>
      <c r="I102" s="348" t="s">
        <v>350</v>
      </c>
      <c r="J102" s="361" t="s">
        <v>350</v>
      </c>
      <c r="K102" s="361" t="s">
        <v>348</v>
      </c>
      <c r="L102" s="361" t="s">
        <v>419</v>
      </c>
      <c r="M102" s="413" t="s">
        <v>336</v>
      </c>
      <c r="N102" s="351" t="s">
        <v>422</v>
      </c>
      <c r="O102" s="352">
        <f>'[8]SPJ FUNGSIONAL '!O108</f>
        <v>44855033</v>
      </c>
      <c r="P102" s="353">
        <f>'[9]LRA SP2D'!$R$102</f>
        <v>27919276</v>
      </c>
      <c r="Q102" s="353">
        <f>5888136</f>
        <v>5888136</v>
      </c>
      <c r="R102" s="353">
        <f t="shared" si="27"/>
        <v>33807412</v>
      </c>
      <c r="S102" s="353">
        <f>'[8]SPJ FUNGSIONAL '!V108</f>
        <v>28922026</v>
      </c>
      <c r="T102" s="373">
        <f>'[8]SPJ FUNGSIONAL '!W108</f>
        <v>4262396</v>
      </c>
      <c r="U102" s="353">
        <f t="shared" si="28"/>
        <v>33184422</v>
      </c>
      <c r="V102" s="353">
        <f t="shared" si="29"/>
        <v>11670611</v>
      </c>
      <c r="W102" s="353"/>
      <c r="X102" s="353"/>
      <c r="Y102" s="354">
        <f t="shared" si="30"/>
        <v>0.73981490549789586</v>
      </c>
    </row>
    <row r="103" spans="1:25" s="284" customFormat="1" ht="25" customHeight="1">
      <c r="A103" s="375"/>
      <c r="B103" s="363"/>
      <c r="C103" s="363"/>
      <c r="D103" s="363"/>
      <c r="E103" s="363"/>
      <c r="F103" s="363"/>
      <c r="G103" s="363"/>
      <c r="H103" s="363"/>
      <c r="I103" s="363"/>
      <c r="J103" s="363"/>
      <c r="K103" s="363"/>
      <c r="L103" s="363"/>
      <c r="M103" s="376"/>
      <c r="N103" s="352"/>
      <c r="O103" s="352"/>
      <c r="P103" s="353"/>
      <c r="Q103" s="353">
        <f t="shared" ref="Q103" si="33">T103</f>
        <v>0</v>
      </c>
      <c r="R103" s="353">
        <f t="shared" si="27"/>
        <v>0</v>
      </c>
      <c r="S103" s="353"/>
      <c r="T103" s="353"/>
      <c r="U103" s="353">
        <f t="shared" si="28"/>
        <v>0</v>
      </c>
      <c r="V103" s="353">
        <f t="shared" si="29"/>
        <v>0</v>
      </c>
      <c r="W103" s="353">
        <f t="shared" si="31"/>
        <v>0</v>
      </c>
      <c r="X103" s="353">
        <f t="shared" si="10"/>
        <v>0</v>
      </c>
      <c r="Y103" s="354"/>
    </row>
    <row r="104" spans="1:25" s="284" customFormat="1" ht="34.5" customHeight="1">
      <c r="A104" s="338">
        <v>7</v>
      </c>
      <c r="B104" s="339" t="s">
        <v>348</v>
      </c>
      <c r="C104" s="339" t="s">
        <v>348</v>
      </c>
      <c r="D104" s="340">
        <v>2</v>
      </c>
      <c r="E104" s="339" t="s">
        <v>365</v>
      </c>
      <c r="F104" s="339" t="s">
        <v>382</v>
      </c>
      <c r="G104" s="340"/>
      <c r="H104" s="340"/>
      <c r="I104" s="340"/>
      <c r="J104" s="340"/>
      <c r="K104" s="340"/>
      <c r="L104" s="340"/>
      <c r="M104" s="341"/>
      <c r="N104" s="370" t="s">
        <v>423</v>
      </c>
      <c r="O104" s="343">
        <f>O105</f>
        <v>1054036000</v>
      </c>
      <c r="P104" s="344">
        <f>P105</f>
        <v>840017360</v>
      </c>
      <c r="Q104" s="344">
        <f>Q105</f>
        <v>81660432</v>
      </c>
      <c r="R104" s="344">
        <f t="shared" si="27"/>
        <v>921677792</v>
      </c>
      <c r="S104" s="344">
        <f>S105</f>
        <v>840058064</v>
      </c>
      <c r="T104" s="344">
        <f>T105</f>
        <v>164022544</v>
      </c>
      <c r="U104" s="344">
        <f t="shared" si="28"/>
        <v>1004080608</v>
      </c>
      <c r="V104" s="344">
        <f t="shared" si="29"/>
        <v>49955392</v>
      </c>
      <c r="W104" s="344"/>
      <c r="X104" s="344">
        <f t="shared" ref="X104:X167" si="34">R104-U104</f>
        <v>-82402816</v>
      </c>
      <c r="Y104" s="371">
        <f t="shared" si="30"/>
        <v>0.95260561119354559</v>
      </c>
    </row>
    <row r="105" spans="1:25" s="284" customFormat="1" ht="34.5" customHeight="1">
      <c r="A105" s="332">
        <v>7</v>
      </c>
      <c r="B105" s="346" t="s">
        <v>348</v>
      </c>
      <c r="C105" s="346" t="s">
        <v>348</v>
      </c>
      <c r="D105" s="333">
        <v>2</v>
      </c>
      <c r="E105" s="346" t="s">
        <v>365</v>
      </c>
      <c r="F105" s="346" t="s">
        <v>382</v>
      </c>
      <c r="G105" s="333">
        <v>5</v>
      </c>
      <c r="H105" s="333">
        <v>1</v>
      </c>
      <c r="I105" s="346" t="s">
        <v>350</v>
      </c>
      <c r="J105" s="378" t="s">
        <v>350</v>
      </c>
      <c r="K105" s="363"/>
      <c r="L105" s="363"/>
      <c r="M105" s="376"/>
      <c r="N105" s="374" t="s">
        <v>391</v>
      </c>
      <c r="O105" s="366">
        <f>O106+O111</f>
        <v>1054036000</v>
      </c>
      <c r="P105" s="305">
        <f>P106+P111</f>
        <v>840017360</v>
      </c>
      <c r="Q105" s="305">
        <f>Q106+Q111</f>
        <v>81660432</v>
      </c>
      <c r="R105" s="305">
        <f t="shared" si="27"/>
        <v>921677792</v>
      </c>
      <c r="S105" s="305">
        <f>S106+S111</f>
        <v>840058064</v>
      </c>
      <c r="T105" s="305">
        <f>T106+T111</f>
        <v>164022544</v>
      </c>
      <c r="U105" s="305">
        <f t="shared" si="28"/>
        <v>1004080608</v>
      </c>
      <c r="V105" s="305">
        <f t="shared" si="29"/>
        <v>49955392</v>
      </c>
      <c r="W105" s="305"/>
      <c r="X105" s="305">
        <f t="shared" si="34"/>
        <v>-82402816</v>
      </c>
      <c r="Y105" s="307">
        <f t="shared" si="30"/>
        <v>0.95260561119354559</v>
      </c>
    </row>
    <row r="106" spans="1:25" s="284" customFormat="1" ht="34.5" customHeight="1">
      <c r="A106" s="332">
        <v>7</v>
      </c>
      <c r="B106" s="346" t="s">
        <v>348</v>
      </c>
      <c r="C106" s="346" t="s">
        <v>348</v>
      </c>
      <c r="D106" s="333">
        <v>2</v>
      </c>
      <c r="E106" s="346" t="s">
        <v>365</v>
      </c>
      <c r="F106" s="346" t="s">
        <v>382</v>
      </c>
      <c r="G106" s="333">
        <v>5</v>
      </c>
      <c r="H106" s="333">
        <v>1</v>
      </c>
      <c r="I106" s="346" t="s">
        <v>350</v>
      </c>
      <c r="J106" s="378" t="s">
        <v>350</v>
      </c>
      <c r="K106" s="378" t="s">
        <v>348</v>
      </c>
      <c r="L106" s="363"/>
      <c r="M106" s="376"/>
      <c r="N106" s="374" t="s">
        <v>392</v>
      </c>
      <c r="O106" s="366">
        <f>SUM(O107:O110)</f>
        <v>1041940000</v>
      </c>
      <c r="P106" s="305">
        <f>SUM(P107:P110)</f>
        <v>834980000</v>
      </c>
      <c r="Q106" s="305">
        <f>SUM(Q107:Q110)</f>
        <v>81060000</v>
      </c>
      <c r="R106" s="305">
        <f t="shared" si="27"/>
        <v>916040000</v>
      </c>
      <c r="S106" s="305">
        <f>SUM(S107:S110)</f>
        <v>834980000</v>
      </c>
      <c r="T106" s="305">
        <f>SUM(T107:T110)</f>
        <v>163300000</v>
      </c>
      <c r="U106" s="305">
        <f t="shared" si="28"/>
        <v>998280000</v>
      </c>
      <c r="V106" s="305">
        <f t="shared" si="29"/>
        <v>43660000</v>
      </c>
      <c r="W106" s="305"/>
      <c r="X106" s="305">
        <f t="shared" si="34"/>
        <v>-82240000</v>
      </c>
      <c r="Y106" s="307">
        <f t="shared" si="30"/>
        <v>0.95809739524348814</v>
      </c>
    </row>
    <row r="107" spans="1:25" s="284" customFormat="1" ht="34.5" customHeight="1">
      <c r="A107" s="347">
        <v>7</v>
      </c>
      <c r="B107" s="348" t="s">
        <v>348</v>
      </c>
      <c r="C107" s="348" t="s">
        <v>348</v>
      </c>
      <c r="D107" s="349">
        <v>2</v>
      </c>
      <c r="E107" s="348" t="s">
        <v>365</v>
      </c>
      <c r="F107" s="348" t="s">
        <v>382</v>
      </c>
      <c r="G107" s="349">
        <v>5</v>
      </c>
      <c r="H107" s="349">
        <v>1</v>
      </c>
      <c r="I107" s="348" t="s">
        <v>350</v>
      </c>
      <c r="J107" s="361" t="s">
        <v>350</v>
      </c>
      <c r="K107" s="361" t="s">
        <v>348</v>
      </c>
      <c r="L107" s="361" t="s">
        <v>384</v>
      </c>
      <c r="M107" s="376">
        <v>6</v>
      </c>
      <c r="N107" s="351" t="s">
        <v>424</v>
      </c>
      <c r="O107" s="352">
        <f>'[8]SPJ FUNGSIONAL '!O113</f>
        <v>428700000</v>
      </c>
      <c r="P107" s="353">
        <f>'[9]LRA SP2D'!$R$107</f>
        <v>341500000</v>
      </c>
      <c r="Q107" s="353">
        <v>33700000</v>
      </c>
      <c r="R107" s="353">
        <f t="shared" si="27"/>
        <v>375200000</v>
      </c>
      <c r="S107" s="353">
        <f>'[8]SPJ FUNGSIONAL '!V113</f>
        <v>341500000</v>
      </c>
      <c r="T107" s="353">
        <f>'[8]SPJ FUNGSIONAL '!W113</f>
        <v>67700000</v>
      </c>
      <c r="U107" s="353">
        <f t="shared" si="28"/>
        <v>409200000</v>
      </c>
      <c r="V107" s="353">
        <f t="shared" si="29"/>
        <v>19500000</v>
      </c>
      <c r="W107" s="353"/>
      <c r="X107" s="353">
        <f t="shared" si="34"/>
        <v>-34000000</v>
      </c>
      <c r="Y107" s="354">
        <f t="shared" si="30"/>
        <v>0.95451364590622811</v>
      </c>
    </row>
    <row r="108" spans="1:25" s="284" customFormat="1" ht="34.5" customHeight="1">
      <c r="A108" s="347">
        <v>7</v>
      </c>
      <c r="B108" s="348" t="s">
        <v>348</v>
      </c>
      <c r="C108" s="348" t="s">
        <v>348</v>
      </c>
      <c r="D108" s="349">
        <v>2</v>
      </c>
      <c r="E108" s="348" t="s">
        <v>365</v>
      </c>
      <c r="F108" s="348" t="s">
        <v>382</v>
      </c>
      <c r="G108" s="349">
        <v>5</v>
      </c>
      <c r="H108" s="349">
        <v>1</v>
      </c>
      <c r="I108" s="348" t="s">
        <v>350</v>
      </c>
      <c r="J108" s="361" t="s">
        <v>350</v>
      </c>
      <c r="K108" s="361" t="s">
        <v>348</v>
      </c>
      <c r="L108" s="361" t="s">
        <v>380</v>
      </c>
      <c r="M108" s="413" t="s">
        <v>420</v>
      </c>
      <c r="N108" s="351" t="s">
        <v>425</v>
      </c>
      <c r="O108" s="352">
        <f>'[8]SPJ FUNGSIONAL '!O114</f>
        <v>255080000</v>
      </c>
      <c r="P108" s="353">
        <f>'[9]LRA SP2D'!$R$108</f>
        <v>193160000</v>
      </c>
      <c r="Q108" s="353">
        <v>19440000</v>
      </c>
      <c r="R108" s="353">
        <f t="shared" si="27"/>
        <v>212600000</v>
      </c>
      <c r="S108" s="353">
        <f>'[8]SPJ FUNGSIONAL '!V114</f>
        <v>193160000</v>
      </c>
      <c r="T108" s="353">
        <f>'[8]SPJ FUNGSIONAL '!W114</f>
        <v>38880000</v>
      </c>
      <c r="U108" s="353">
        <f t="shared" si="28"/>
        <v>232040000</v>
      </c>
      <c r="V108" s="353">
        <f t="shared" si="29"/>
        <v>23040000</v>
      </c>
      <c r="W108" s="353"/>
      <c r="X108" s="353">
        <f t="shared" si="34"/>
        <v>-19440000</v>
      </c>
      <c r="Y108" s="354">
        <f t="shared" si="30"/>
        <v>0.90967539595421043</v>
      </c>
    </row>
    <row r="109" spans="1:25" s="284" customFormat="1" ht="34.5" customHeight="1">
      <c r="A109" s="347">
        <v>7</v>
      </c>
      <c r="B109" s="348" t="s">
        <v>348</v>
      </c>
      <c r="C109" s="348" t="s">
        <v>348</v>
      </c>
      <c r="D109" s="349">
        <v>2</v>
      </c>
      <c r="E109" s="348" t="s">
        <v>365</v>
      </c>
      <c r="F109" s="348" t="s">
        <v>382</v>
      </c>
      <c r="G109" s="349">
        <v>5</v>
      </c>
      <c r="H109" s="349">
        <v>1</v>
      </c>
      <c r="I109" s="348" t="s">
        <v>350</v>
      </c>
      <c r="J109" s="361" t="s">
        <v>350</v>
      </c>
      <c r="K109" s="361" t="s">
        <v>348</v>
      </c>
      <c r="L109" s="361" t="s">
        <v>380</v>
      </c>
      <c r="M109" s="413" t="s">
        <v>336</v>
      </c>
      <c r="N109" s="351" t="s">
        <v>426</v>
      </c>
      <c r="O109" s="352">
        <f>'[8]SPJ FUNGSIONAL '!O115</f>
        <v>307160000</v>
      </c>
      <c r="P109" s="353">
        <f>'[9]LRA SP2D'!$R$109</f>
        <v>258040000</v>
      </c>
      <c r="Q109" s="353">
        <v>23920000</v>
      </c>
      <c r="R109" s="353">
        <f t="shared" si="27"/>
        <v>281960000</v>
      </c>
      <c r="S109" s="353">
        <f>'[8]SPJ FUNGSIONAL '!V115</f>
        <v>258040000</v>
      </c>
      <c r="T109" s="353">
        <f>'[8]SPJ FUNGSIONAL '!W115</f>
        <v>48720000</v>
      </c>
      <c r="U109" s="353">
        <f t="shared" si="28"/>
        <v>306760000</v>
      </c>
      <c r="V109" s="353">
        <f t="shared" si="29"/>
        <v>400000</v>
      </c>
      <c r="W109" s="353"/>
      <c r="X109" s="353">
        <f t="shared" si="34"/>
        <v>-24800000</v>
      </c>
      <c r="Y109" s="354">
        <f t="shared" si="30"/>
        <v>0.99869774710248727</v>
      </c>
    </row>
    <row r="110" spans="1:25" s="284" customFormat="1" ht="34.5" customHeight="1">
      <c r="A110" s="347">
        <v>7</v>
      </c>
      <c r="B110" s="348" t="s">
        <v>348</v>
      </c>
      <c r="C110" s="348" t="s">
        <v>348</v>
      </c>
      <c r="D110" s="349">
        <v>2</v>
      </c>
      <c r="E110" s="348" t="s">
        <v>365</v>
      </c>
      <c r="F110" s="348" t="s">
        <v>382</v>
      </c>
      <c r="G110" s="349">
        <v>5</v>
      </c>
      <c r="H110" s="349">
        <v>1</v>
      </c>
      <c r="I110" s="348" t="s">
        <v>350</v>
      </c>
      <c r="J110" s="361" t="s">
        <v>350</v>
      </c>
      <c r="K110" s="361" t="s">
        <v>348</v>
      </c>
      <c r="L110" s="361" t="s">
        <v>380</v>
      </c>
      <c r="M110" s="413" t="s">
        <v>337</v>
      </c>
      <c r="N110" s="351" t="s">
        <v>427</v>
      </c>
      <c r="O110" s="352">
        <f>'[8]SPJ FUNGSIONAL '!O116</f>
        <v>51000000</v>
      </c>
      <c r="P110" s="353">
        <f>'[9]LRA SP2D'!$R$110</f>
        <v>42280000</v>
      </c>
      <c r="Q110" s="353">
        <v>4000000</v>
      </c>
      <c r="R110" s="353">
        <f t="shared" si="27"/>
        <v>46280000</v>
      </c>
      <c r="S110" s="353">
        <f>'[8]SPJ FUNGSIONAL '!V116</f>
        <v>42280000</v>
      </c>
      <c r="T110" s="353">
        <f>'[8]SPJ FUNGSIONAL '!W116</f>
        <v>8000000</v>
      </c>
      <c r="U110" s="353">
        <f t="shared" si="28"/>
        <v>50280000</v>
      </c>
      <c r="V110" s="353">
        <f t="shared" si="29"/>
        <v>720000</v>
      </c>
      <c r="W110" s="353"/>
      <c r="X110" s="353">
        <f t="shared" si="34"/>
        <v>-4000000</v>
      </c>
      <c r="Y110" s="354">
        <f t="shared" si="30"/>
        <v>0.98588235294117643</v>
      </c>
    </row>
    <row r="111" spans="1:25" s="284" customFormat="1" ht="34.5" customHeight="1">
      <c r="A111" s="332">
        <v>7</v>
      </c>
      <c r="B111" s="346" t="s">
        <v>348</v>
      </c>
      <c r="C111" s="346" t="s">
        <v>348</v>
      </c>
      <c r="D111" s="333">
        <v>2</v>
      </c>
      <c r="E111" s="346" t="s">
        <v>365</v>
      </c>
      <c r="F111" s="346" t="s">
        <v>382</v>
      </c>
      <c r="G111" s="333">
        <v>5</v>
      </c>
      <c r="H111" s="333">
        <v>1</v>
      </c>
      <c r="I111" s="346" t="s">
        <v>350</v>
      </c>
      <c r="J111" s="378" t="s">
        <v>350</v>
      </c>
      <c r="K111" s="378" t="s">
        <v>350</v>
      </c>
      <c r="L111" s="363"/>
      <c r="M111" s="376"/>
      <c r="N111" s="374" t="s">
        <v>428</v>
      </c>
      <c r="O111" s="366">
        <f>O112+O113</f>
        <v>12096000</v>
      </c>
      <c r="P111" s="305">
        <f>P112+P113</f>
        <v>5037360</v>
      </c>
      <c r="Q111" s="305">
        <f>Q112+Q113</f>
        <v>600432</v>
      </c>
      <c r="R111" s="305">
        <f t="shared" si="27"/>
        <v>5637792</v>
      </c>
      <c r="S111" s="305">
        <f>S112+S113</f>
        <v>5078064</v>
      </c>
      <c r="T111" s="305">
        <f>T112+T113</f>
        <v>722544</v>
      </c>
      <c r="U111" s="305">
        <f t="shared" si="28"/>
        <v>5800608</v>
      </c>
      <c r="V111" s="305">
        <f t="shared" si="29"/>
        <v>6295392</v>
      </c>
      <c r="W111" s="305"/>
      <c r="X111" s="305">
        <f t="shared" si="34"/>
        <v>-162816</v>
      </c>
      <c r="Y111" s="307">
        <f t="shared" si="30"/>
        <v>0.47954761904761906</v>
      </c>
    </row>
    <row r="112" spans="1:25" s="284" customFormat="1" ht="34.5" customHeight="1">
      <c r="A112" s="347">
        <v>7</v>
      </c>
      <c r="B112" s="348" t="s">
        <v>348</v>
      </c>
      <c r="C112" s="348" t="s">
        <v>348</v>
      </c>
      <c r="D112" s="349">
        <v>2</v>
      </c>
      <c r="E112" s="348" t="s">
        <v>365</v>
      </c>
      <c r="F112" s="348" t="s">
        <v>382</v>
      </c>
      <c r="G112" s="349">
        <v>5</v>
      </c>
      <c r="H112" s="349">
        <v>1</v>
      </c>
      <c r="I112" s="348" t="s">
        <v>350</v>
      </c>
      <c r="J112" s="361" t="s">
        <v>350</v>
      </c>
      <c r="K112" s="361" t="s">
        <v>350</v>
      </c>
      <c r="L112" s="361" t="s">
        <v>354</v>
      </c>
      <c r="M112" s="413" t="s">
        <v>429</v>
      </c>
      <c r="N112" s="351" t="s">
        <v>430</v>
      </c>
      <c r="O112" s="352">
        <f>'[8]SPJ FUNGSIONAL '!O118</f>
        <v>3024000</v>
      </c>
      <c r="P112" s="353">
        <f>'[9]LRA SP2D'!$R$112</f>
        <v>2238750</v>
      </c>
      <c r="Q112" s="353">
        <v>266850</v>
      </c>
      <c r="R112" s="353">
        <f t="shared" si="27"/>
        <v>2505600</v>
      </c>
      <c r="S112" s="353">
        <f>'[8]SPJ FUNGSIONAL '!V118</f>
        <v>2256840</v>
      </c>
      <c r="T112" s="353">
        <f>'[8]SPJ FUNGSIONAL '!W118</f>
        <v>330168</v>
      </c>
      <c r="U112" s="353">
        <f t="shared" si="28"/>
        <v>2587008</v>
      </c>
      <c r="V112" s="353">
        <f t="shared" si="29"/>
        <v>436992</v>
      </c>
      <c r="W112" s="353"/>
      <c r="X112" s="353">
        <f t="shared" si="34"/>
        <v>-81408</v>
      </c>
      <c r="Y112" s="354">
        <f t="shared" si="30"/>
        <v>0.85549206349206353</v>
      </c>
    </row>
    <row r="113" spans="1:25" s="284" customFormat="1" ht="34.5" customHeight="1">
      <c r="A113" s="347">
        <v>7</v>
      </c>
      <c r="B113" s="348" t="s">
        <v>348</v>
      </c>
      <c r="C113" s="348" t="s">
        <v>348</v>
      </c>
      <c r="D113" s="349">
        <v>2</v>
      </c>
      <c r="E113" s="348" t="s">
        <v>365</v>
      </c>
      <c r="F113" s="348" t="s">
        <v>382</v>
      </c>
      <c r="G113" s="349">
        <v>5</v>
      </c>
      <c r="H113" s="349">
        <v>1</v>
      </c>
      <c r="I113" s="348" t="s">
        <v>350</v>
      </c>
      <c r="J113" s="361" t="s">
        <v>350</v>
      </c>
      <c r="K113" s="361" t="s">
        <v>350</v>
      </c>
      <c r="L113" s="361" t="s">
        <v>354</v>
      </c>
      <c r="M113" s="413" t="s">
        <v>341</v>
      </c>
      <c r="N113" s="351" t="s">
        <v>431</v>
      </c>
      <c r="O113" s="352">
        <f>'[8]SPJ FUNGSIONAL '!O119</f>
        <v>9072000</v>
      </c>
      <c r="P113" s="353">
        <f>'[9]LRA SP2D'!$R$113</f>
        <v>2798610</v>
      </c>
      <c r="Q113" s="353">
        <v>333582</v>
      </c>
      <c r="R113" s="353">
        <f t="shared" si="27"/>
        <v>3132192</v>
      </c>
      <c r="S113" s="353">
        <f>'[8]SPJ FUNGSIONAL '!V119</f>
        <v>2821224</v>
      </c>
      <c r="T113" s="353">
        <f>'[8]SPJ FUNGSIONAL '!W119</f>
        <v>392376</v>
      </c>
      <c r="U113" s="353">
        <f t="shared" si="28"/>
        <v>3213600</v>
      </c>
      <c r="V113" s="353">
        <f t="shared" si="29"/>
        <v>5858400</v>
      </c>
      <c r="W113" s="353"/>
      <c r="X113" s="353">
        <f t="shared" si="34"/>
        <v>-81408</v>
      </c>
      <c r="Y113" s="354">
        <f t="shared" si="30"/>
        <v>0.35423280423280423</v>
      </c>
    </row>
    <row r="114" spans="1:25" s="284" customFormat="1" ht="25" customHeight="1">
      <c r="A114" s="347"/>
      <c r="B114" s="349"/>
      <c r="C114" s="349"/>
      <c r="D114" s="349"/>
      <c r="E114" s="349"/>
      <c r="F114" s="349"/>
      <c r="G114" s="349"/>
      <c r="H114" s="349"/>
      <c r="I114" s="349"/>
      <c r="J114" s="363"/>
      <c r="K114" s="363"/>
      <c r="L114" s="363"/>
      <c r="M114" s="376"/>
      <c r="N114" s="351"/>
      <c r="O114" s="352"/>
      <c r="P114" s="353"/>
      <c r="Q114" s="353"/>
      <c r="R114" s="353">
        <f t="shared" si="27"/>
        <v>0</v>
      </c>
      <c r="S114" s="353"/>
      <c r="T114" s="353"/>
      <c r="U114" s="353">
        <f t="shared" si="28"/>
        <v>0</v>
      </c>
      <c r="V114" s="353">
        <f t="shared" si="29"/>
        <v>0</v>
      </c>
      <c r="W114" s="353">
        <f t="shared" si="31"/>
        <v>0</v>
      </c>
      <c r="X114" s="353">
        <f t="shared" si="34"/>
        <v>0</v>
      </c>
      <c r="Y114" s="354"/>
    </row>
    <row r="115" spans="1:25" s="284" customFormat="1" ht="52.5" customHeight="1">
      <c r="A115" s="324">
        <v>7</v>
      </c>
      <c r="B115" s="325" t="s">
        <v>348</v>
      </c>
      <c r="C115" s="325" t="s">
        <v>348</v>
      </c>
      <c r="D115" s="326">
        <v>2</v>
      </c>
      <c r="E115" s="325" t="s">
        <v>367</v>
      </c>
      <c r="F115" s="326"/>
      <c r="G115" s="326"/>
      <c r="H115" s="326"/>
      <c r="I115" s="326"/>
      <c r="J115" s="326"/>
      <c r="K115" s="326"/>
      <c r="L115" s="326"/>
      <c r="M115" s="327"/>
      <c r="N115" s="328" t="s">
        <v>432</v>
      </c>
      <c r="O115" s="329">
        <f>O117+O130+O144</f>
        <v>378544600</v>
      </c>
      <c r="P115" s="329">
        <f t="shared" ref="P115:V115" si="35">P117+P130+P144</f>
        <v>230153153</v>
      </c>
      <c r="Q115" s="329">
        <f t="shared" si="35"/>
        <v>59465350</v>
      </c>
      <c r="R115" s="329">
        <f t="shared" si="35"/>
        <v>289618503</v>
      </c>
      <c r="S115" s="329">
        <f t="shared" si="35"/>
        <v>244401603</v>
      </c>
      <c r="T115" s="329">
        <f t="shared" si="35"/>
        <v>51011400</v>
      </c>
      <c r="U115" s="329">
        <f t="shared" si="35"/>
        <v>295413003</v>
      </c>
      <c r="V115" s="329">
        <f t="shared" si="35"/>
        <v>83131597</v>
      </c>
      <c r="W115" s="330"/>
      <c r="X115" s="330">
        <f>R115-U115</f>
        <v>-5794500</v>
      </c>
      <c r="Y115" s="331">
        <f t="shared" si="30"/>
        <v>0.78039153906831582</v>
      </c>
    </row>
    <row r="116" spans="1:25" s="284" customFormat="1" ht="25" customHeight="1">
      <c r="A116" s="332"/>
      <c r="B116" s="333"/>
      <c r="C116" s="333"/>
      <c r="D116" s="333"/>
      <c r="E116" s="333"/>
      <c r="F116" s="333"/>
      <c r="G116" s="333"/>
      <c r="H116" s="333"/>
      <c r="I116" s="333"/>
      <c r="J116" s="333"/>
      <c r="K116" s="333"/>
      <c r="L116" s="333"/>
      <c r="M116" s="334"/>
      <c r="N116" s="372"/>
      <c r="O116" s="336"/>
      <c r="P116" s="353"/>
      <c r="Q116" s="353"/>
      <c r="R116" s="353">
        <f t="shared" si="27"/>
        <v>0</v>
      </c>
      <c r="S116" s="353"/>
      <c r="T116" s="353"/>
      <c r="U116" s="353">
        <f t="shared" si="28"/>
        <v>0</v>
      </c>
      <c r="V116" s="353">
        <f t="shared" si="29"/>
        <v>0</v>
      </c>
      <c r="W116" s="353">
        <f t="shared" si="31"/>
        <v>0</v>
      </c>
      <c r="X116" s="353">
        <f t="shared" si="34"/>
        <v>0</v>
      </c>
      <c r="Y116" s="354"/>
    </row>
    <row r="117" spans="1:25" s="284" customFormat="1" ht="59.25" customHeight="1">
      <c r="A117" s="338">
        <v>7</v>
      </c>
      <c r="B117" s="339" t="s">
        <v>348</v>
      </c>
      <c r="C117" s="339" t="s">
        <v>348</v>
      </c>
      <c r="D117" s="340">
        <v>2</v>
      </c>
      <c r="E117" s="339" t="s">
        <v>367</v>
      </c>
      <c r="F117" s="339" t="s">
        <v>350</v>
      </c>
      <c r="G117" s="340"/>
      <c r="H117" s="340"/>
      <c r="I117" s="340"/>
      <c r="J117" s="340"/>
      <c r="K117" s="340"/>
      <c r="L117" s="340"/>
      <c r="M117" s="341"/>
      <c r="N117" s="370" t="s">
        <v>433</v>
      </c>
      <c r="O117" s="343">
        <f>O118</f>
        <v>200822100</v>
      </c>
      <c r="P117" s="344">
        <f>P118</f>
        <v>136719450</v>
      </c>
      <c r="Q117" s="344">
        <f>Q118</f>
        <v>28990850</v>
      </c>
      <c r="R117" s="344">
        <f t="shared" si="27"/>
        <v>165710300</v>
      </c>
      <c r="S117" s="344">
        <f>S118</f>
        <v>141922900</v>
      </c>
      <c r="T117" s="344">
        <f>T118</f>
        <v>26022900</v>
      </c>
      <c r="U117" s="344">
        <f t="shared" si="28"/>
        <v>167945800</v>
      </c>
      <c r="V117" s="344">
        <f t="shared" si="29"/>
        <v>32876300</v>
      </c>
      <c r="W117" s="344"/>
      <c r="X117" s="344">
        <f t="shared" si="34"/>
        <v>-2235500</v>
      </c>
      <c r="Y117" s="371">
        <f t="shared" si="30"/>
        <v>0.83629142410123192</v>
      </c>
    </row>
    <row r="118" spans="1:25" s="284" customFormat="1" ht="43.5" customHeight="1">
      <c r="A118" s="332">
        <v>7</v>
      </c>
      <c r="B118" s="346" t="s">
        <v>348</v>
      </c>
      <c r="C118" s="346" t="s">
        <v>348</v>
      </c>
      <c r="D118" s="333">
        <v>2</v>
      </c>
      <c r="E118" s="346" t="s">
        <v>367</v>
      </c>
      <c r="F118" s="346" t="s">
        <v>350</v>
      </c>
      <c r="G118" s="333">
        <v>5</v>
      </c>
      <c r="H118" s="333">
        <v>1</v>
      </c>
      <c r="I118" s="346" t="s">
        <v>350</v>
      </c>
      <c r="J118" s="379"/>
      <c r="K118" s="363"/>
      <c r="L118" s="363"/>
      <c r="M118" s="376"/>
      <c r="N118" s="374" t="s">
        <v>377</v>
      </c>
      <c r="O118" s="366">
        <f>O119+O122+O126</f>
        <v>200822100</v>
      </c>
      <c r="P118" s="305">
        <f>P119+P122+P126</f>
        <v>136719450</v>
      </c>
      <c r="Q118" s="305">
        <f>Q119+Q122+Q126</f>
        <v>28990850</v>
      </c>
      <c r="R118" s="305">
        <f t="shared" si="27"/>
        <v>165710300</v>
      </c>
      <c r="S118" s="305">
        <f>S119+S122+S126</f>
        <v>141922900</v>
      </c>
      <c r="T118" s="305">
        <f>T119+T122+T126</f>
        <v>26022900</v>
      </c>
      <c r="U118" s="305">
        <f t="shared" si="28"/>
        <v>167945800</v>
      </c>
      <c r="V118" s="305">
        <f t="shared" si="29"/>
        <v>32876300</v>
      </c>
      <c r="W118" s="305"/>
      <c r="X118" s="305">
        <f t="shared" si="34"/>
        <v>-2235500</v>
      </c>
      <c r="Y118" s="307">
        <f t="shared" si="30"/>
        <v>0.83629142410123192</v>
      </c>
    </row>
    <row r="119" spans="1:25" s="284" customFormat="1" ht="43.5" customHeight="1">
      <c r="A119" s="332">
        <v>7</v>
      </c>
      <c r="B119" s="346" t="s">
        <v>348</v>
      </c>
      <c r="C119" s="346" t="s">
        <v>348</v>
      </c>
      <c r="D119" s="333">
        <v>2</v>
      </c>
      <c r="E119" s="346" t="s">
        <v>367</v>
      </c>
      <c r="F119" s="346" t="s">
        <v>350</v>
      </c>
      <c r="G119" s="333">
        <v>5</v>
      </c>
      <c r="H119" s="333">
        <v>1</v>
      </c>
      <c r="I119" s="346" t="s">
        <v>350</v>
      </c>
      <c r="J119" s="378" t="s">
        <v>348</v>
      </c>
      <c r="K119" s="363"/>
      <c r="L119" s="363"/>
      <c r="M119" s="376"/>
      <c r="N119" s="374" t="s">
        <v>398</v>
      </c>
      <c r="O119" s="366">
        <f t="shared" ref="O119:Q120" si="36">O120</f>
        <v>93922100</v>
      </c>
      <c r="P119" s="305">
        <f t="shared" si="36"/>
        <v>75651000</v>
      </c>
      <c r="Q119" s="305">
        <f t="shared" si="36"/>
        <v>9295000</v>
      </c>
      <c r="R119" s="305">
        <f t="shared" si="27"/>
        <v>84946000</v>
      </c>
      <c r="S119" s="305">
        <f>S120</f>
        <v>75651000</v>
      </c>
      <c r="T119" s="305">
        <f>T120</f>
        <v>9295000</v>
      </c>
      <c r="U119" s="305">
        <f t="shared" si="28"/>
        <v>84946000</v>
      </c>
      <c r="V119" s="305">
        <f t="shared" si="29"/>
        <v>8976100</v>
      </c>
      <c r="W119" s="305"/>
      <c r="X119" s="305">
        <f t="shared" si="34"/>
        <v>0</v>
      </c>
      <c r="Y119" s="307">
        <f t="shared" si="30"/>
        <v>0.90443037368201951</v>
      </c>
    </row>
    <row r="120" spans="1:25" s="284" customFormat="1" ht="43.5" customHeight="1">
      <c r="A120" s="347">
        <v>7</v>
      </c>
      <c r="B120" s="348" t="s">
        <v>348</v>
      </c>
      <c r="C120" s="348" t="s">
        <v>348</v>
      </c>
      <c r="D120" s="349">
        <v>2</v>
      </c>
      <c r="E120" s="348" t="s">
        <v>367</v>
      </c>
      <c r="F120" s="348" t="s">
        <v>350</v>
      </c>
      <c r="G120" s="349">
        <v>5</v>
      </c>
      <c r="H120" s="349">
        <v>1</v>
      </c>
      <c r="I120" s="348" t="s">
        <v>350</v>
      </c>
      <c r="J120" s="361" t="s">
        <v>348</v>
      </c>
      <c r="K120" s="361" t="s">
        <v>348</v>
      </c>
      <c r="L120" s="363"/>
      <c r="M120" s="376"/>
      <c r="N120" s="372" t="s">
        <v>379</v>
      </c>
      <c r="O120" s="366">
        <f t="shared" si="36"/>
        <v>93922100</v>
      </c>
      <c r="P120" s="305">
        <f t="shared" si="36"/>
        <v>75651000</v>
      </c>
      <c r="Q120" s="305">
        <f t="shared" si="36"/>
        <v>9295000</v>
      </c>
      <c r="R120" s="305">
        <f t="shared" si="27"/>
        <v>84946000</v>
      </c>
      <c r="S120" s="305">
        <f>S121</f>
        <v>75651000</v>
      </c>
      <c r="T120" s="305">
        <f>T121</f>
        <v>9295000</v>
      </c>
      <c r="U120" s="305">
        <f t="shared" si="28"/>
        <v>84946000</v>
      </c>
      <c r="V120" s="305">
        <f t="shared" si="29"/>
        <v>8976100</v>
      </c>
      <c r="W120" s="305"/>
      <c r="X120" s="305">
        <f t="shared" si="34"/>
        <v>0</v>
      </c>
      <c r="Y120" s="307">
        <f t="shared" si="30"/>
        <v>0.90443037368201951</v>
      </c>
    </row>
    <row r="121" spans="1:25" s="284" customFormat="1" ht="43.5" customHeight="1">
      <c r="A121" s="347">
        <v>7</v>
      </c>
      <c r="B121" s="348" t="s">
        <v>348</v>
      </c>
      <c r="C121" s="348" t="s">
        <v>348</v>
      </c>
      <c r="D121" s="349">
        <v>2</v>
      </c>
      <c r="E121" s="348" t="s">
        <v>367</v>
      </c>
      <c r="F121" s="348" t="s">
        <v>350</v>
      </c>
      <c r="G121" s="349">
        <v>5</v>
      </c>
      <c r="H121" s="349">
        <v>1</v>
      </c>
      <c r="I121" s="348" t="s">
        <v>350</v>
      </c>
      <c r="J121" s="361" t="s">
        <v>348</v>
      </c>
      <c r="K121" s="361" t="s">
        <v>348</v>
      </c>
      <c r="L121" s="361" t="s">
        <v>354</v>
      </c>
      <c r="M121" s="413" t="s">
        <v>338</v>
      </c>
      <c r="N121" s="351" t="s">
        <v>434</v>
      </c>
      <c r="O121" s="352">
        <f>'[8]SPJ FUNGSIONAL '!O127</f>
        <v>93922100</v>
      </c>
      <c r="P121" s="353">
        <f>'[9]LRA SP2D'!$R$121</f>
        <v>75651000</v>
      </c>
      <c r="Q121" s="353">
        <v>9295000</v>
      </c>
      <c r="R121" s="353">
        <f t="shared" si="27"/>
        <v>84946000</v>
      </c>
      <c r="S121" s="353">
        <f>'[8]SPJ FUNGSIONAL '!V127</f>
        <v>75651000</v>
      </c>
      <c r="T121" s="353">
        <f>'[8]SPJ FUNGSIONAL '!W127</f>
        <v>9295000</v>
      </c>
      <c r="U121" s="353">
        <f t="shared" si="28"/>
        <v>84946000</v>
      </c>
      <c r="V121" s="353">
        <f t="shared" si="29"/>
        <v>8976100</v>
      </c>
      <c r="W121" s="353"/>
      <c r="X121" s="353">
        <f t="shared" si="34"/>
        <v>0</v>
      </c>
      <c r="Y121" s="354">
        <f t="shared" si="30"/>
        <v>0.90443037368201951</v>
      </c>
    </row>
    <row r="122" spans="1:25" s="284" customFormat="1" ht="43.5" customHeight="1">
      <c r="A122" s="332">
        <v>7</v>
      </c>
      <c r="B122" s="346" t="s">
        <v>348</v>
      </c>
      <c r="C122" s="346" t="s">
        <v>348</v>
      </c>
      <c r="D122" s="333">
        <v>2</v>
      </c>
      <c r="E122" s="346" t="s">
        <v>367</v>
      </c>
      <c r="F122" s="346" t="s">
        <v>350</v>
      </c>
      <c r="G122" s="333">
        <v>5</v>
      </c>
      <c r="H122" s="333">
        <v>1</v>
      </c>
      <c r="I122" s="346" t="s">
        <v>350</v>
      </c>
      <c r="J122" s="378" t="s">
        <v>350</v>
      </c>
      <c r="K122" s="363"/>
      <c r="L122" s="363"/>
      <c r="M122" s="376"/>
      <c r="N122" s="374" t="s">
        <v>391</v>
      </c>
      <c r="O122" s="366">
        <f t="shared" ref="O122:Q122" si="37">O123</f>
        <v>14800000</v>
      </c>
      <c r="P122" s="305">
        <f>P123</f>
        <v>4128050</v>
      </c>
      <c r="Q122" s="305">
        <f t="shared" si="37"/>
        <v>3040350</v>
      </c>
      <c r="R122" s="305">
        <f t="shared" si="27"/>
        <v>7168400</v>
      </c>
      <c r="S122" s="305">
        <f>'[8]SPJ FUNGSIONAL '!V128</f>
        <v>4388500</v>
      </c>
      <c r="T122" s="305">
        <f>T123</f>
        <v>3097400</v>
      </c>
      <c r="U122" s="305">
        <f t="shared" si="28"/>
        <v>7485900</v>
      </c>
      <c r="V122" s="305">
        <f t="shared" si="29"/>
        <v>7314100</v>
      </c>
      <c r="W122" s="305"/>
      <c r="X122" s="305">
        <f t="shared" si="34"/>
        <v>-317500</v>
      </c>
      <c r="Y122" s="307">
        <f t="shared" si="30"/>
        <v>0.50580405405405404</v>
      </c>
    </row>
    <row r="123" spans="1:25" s="284" customFormat="1" ht="43.5" customHeight="1">
      <c r="A123" s="332">
        <v>7</v>
      </c>
      <c r="B123" s="346" t="s">
        <v>348</v>
      </c>
      <c r="C123" s="346" t="s">
        <v>348</v>
      </c>
      <c r="D123" s="333">
        <v>2</v>
      </c>
      <c r="E123" s="346" t="s">
        <v>367</v>
      </c>
      <c r="F123" s="346" t="s">
        <v>350</v>
      </c>
      <c r="G123" s="333">
        <v>5</v>
      </c>
      <c r="H123" s="333">
        <v>1</v>
      </c>
      <c r="I123" s="346" t="s">
        <v>350</v>
      </c>
      <c r="J123" s="378" t="s">
        <v>350</v>
      </c>
      <c r="K123" s="378" t="s">
        <v>348</v>
      </c>
      <c r="L123" s="363"/>
      <c r="M123" s="376"/>
      <c r="N123" s="374" t="s">
        <v>392</v>
      </c>
      <c r="O123" s="366">
        <f>O124+O125</f>
        <v>14800000</v>
      </c>
      <c r="P123" s="366">
        <f>P124+P125</f>
        <v>4128050</v>
      </c>
      <c r="Q123" s="366">
        <f t="shared" ref="Q123" si="38">Q124+Q125</f>
        <v>3040350</v>
      </c>
      <c r="R123" s="305">
        <f t="shared" si="27"/>
        <v>7168400</v>
      </c>
      <c r="S123" s="366">
        <f t="shared" ref="S123:T123" si="39">S124+S125</f>
        <v>4388500</v>
      </c>
      <c r="T123" s="366">
        <f t="shared" si="39"/>
        <v>3097400</v>
      </c>
      <c r="U123" s="305">
        <f t="shared" si="28"/>
        <v>7485900</v>
      </c>
      <c r="V123" s="305">
        <f t="shared" si="29"/>
        <v>7314100</v>
      </c>
      <c r="W123" s="305"/>
      <c r="X123" s="305">
        <f t="shared" si="34"/>
        <v>-317500</v>
      </c>
      <c r="Y123" s="307">
        <f t="shared" si="30"/>
        <v>0.50580405405405404</v>
      </c>
    </row>
    <row r="124" spans="1:25" s="284" customFormat="1" ht="43.5" customHeight="1">
      <c r="A124" s="347">
        <v>7</v>
      </c>
      <c r="B124" s="348" t="s">
        <v>348</v>
      </c>
      <c r="C124" s="348" t="s">
        <v>348</v>
      </c>
      <c r="D124" s="349">
        <v>2</v>
      </c>
      <c r="E124" s="348" t="s">
        <v>367</v>
      </c>
      <c r="F124" s="348" t="s">
        <v>350</v>
      </c>
      <c r="G124" s="349">
        <v>5</v>
      </c>
      <c r="H124" s="349">
        <v>1</v>
      </c>
      <c r="I124" s="348" t="s">
        <v>350</v>
      </c>
      <c r="J124" s="361" t="s">
        <v>350</v>
      </c>
      <c r="K124" s="361" t="s">
        <v>348</v>
      </c>
      <c r="L124" s="361" t="s">
        <v>393</v>
      </c>
      <c r="M124" s="413">
        <v>0</v>
      </c>
      <c r="N124" s="351" t="s">
        <v>435</v>
      </c>
      <c r="O124" s="352">
        <f>'[8]SPJ FUNGSIONAL '!O130</f>
        <v>300000</v>
      </c>
      <c r="P124" s="353">
        <f>S124</f>
        <v>230000</v>
      </c>
      <c r="Q124" s="353">
        <f>T124</f>
        <v>0</v>
      </c>
      <c r="R124" s="353">
        <f t="shared" si="27"/>
        <v>230000</v>
      </c>
      <c r="S124" s="353">
        <f>'[8]SPJ FUNGSIONAL '!V130</f>
        <v>230000</v>
      </c>
      <c r="T124" s="353">
        <f>'[8]SPJ FUNGSIONAL '!W130</f>
        <v>0</v>
      </c>
      <c r="U124" s="353">
        <f t="shared" si="28"/>
        <v>230000</v>
      </c>
      <c r="V124" s="353">
        <f t="shared" si="29"/>
        <v>70000</v>
      </c>
      <c r="W124" s="353">
        <f t="shared" si="31"/>
        <v>0</v>
      </c>
      <c r="X124" s="353">
        <f t="shared" si="34"/>
        <v>0</v>
      </c>
      <c r="Y124" s="354">
        <f t="shared" si="30"/>
        <v>0.76666666666666672</v>
      </c>
    </row>
    <row r="125" spans="1:25" s="284" customFormat="1" ht="43.5" customHeight="1">
      <c r="A125" s="347">
        <v>7</v>
      </c>
      <c r="B125" s="348" t="s">
        <v>348</v>
      </c>
      <c r="C125" s="348" t="s">
        <v>348</v>
      </c>
      <c r="D125" s="349">
        <v>2</v>
      </c>
      <c r="E125" s="348" t="s">
        <v>367</v>
      </c>
      <c r="F125" s="348" t="s">
        <v>350</v>
      </c>
      <c r="G125" s="349">
        <v>5</v>
      </c>
      <c r="H125" s="349">
        <v>1</v>
      </c>
      <c r="I125" s="348" t="s">
        <v>350</v>
      </c>
      <c r="J125" s="361" t="s">
        <v>350</v>
      </c>
      <c r="K125" s="361" t="s">
        <v>348</v>
      </c>
      <c r="L125" s="361" t="s">
        <v>419</v>
      </c>
      <c r="M125" s="413" t="s">
        <v>341</v>
      </c>
      <c r="N125" s="351" t="s">
        <v>436</v>
      </c>
      <c r="O125" s="352">
        <f>'[8]SPJ FUNGSIONAL '!O131</f>
        <v>14500000</v>
      </c>
      <c r="P125" s="353">
        <f>'[9]LRA SP2D'!$R$125</f>
        <v>3898050</v>
      </c>
      <c r="Q125" s="353">
        <v>3040350</v>
      </c>
      <c r="R125" s="353">
        <f>SUM(P125:Q125)</f>
        <v>6938400</v>
      </c>
      <c r="S125" s="353">
        <f>'[8]SPJ FUNGSIONAL '!V131</f>
        <v>4158500</v>
      </c>
      <c r="T125" s="353">
        <f>'[8]SPJ FUNGSIONAL '!W131</f>
        <v>3097400</v>
      </c>
      <c r="U125" s="353">
        <f>SUM(S125:T125)</f>
        <v>7255900</v>
      </c>
      <c r="V125" s="353">
        <f t="shared" si="29"/>
        <v>7244100</v>
      </c>
      <c r="W125" s="353"/>
      <c r="X125" s="353">
        <f t="shared" si="34"/>
        <v>-317500</v>
      </c>
      <c r="Y125" s="354">
        <f t="shared" si="30"/>
        <v>0.5004068965517241</v>
      </c>
    </row>
    <row r="126" spans="1:25" s="284" customFormat="1" ht="43.5" customHeight="1">
      <c r="A126" s="332">
        <v>7</v>
      </c>
      <c r="B126" s="346" t="s">
        <v>348</v>
      </c>
      <c r="C126" s="346" t="s">
        <v>348</v>
      </c>
      <c r="D126" s="333">
        <v>2</v>
      </c>
      <c r="E126" s="346" t="s">
        <v>367</v>
      </c>
      <c r="F126" s="346" t="s">
        <v>350</v>
      </c>
      <c r="G126" s="333">
        <v>5</v>
      </c>
      <c r="H126" s="333">
        <v>1</v>
      </c>
      <c r="I126" s="346" t="s">
        <v>350</v>
      </c>
      <c r="J126" s="378" t="s">
        <v>357</v>
      </c>
      <c r="K126" s="363"/>
      <c r="L126" s="363"/>
      <c r="M126" s="376"/>
      <c r="N126" s="374" t="s">
        <v>437</v>
      </c>
      <c r="O126" s="366">
        <f t="shared" ref="O126:Q127" si="40">O127</f>
        <v>92100000</v>
      </c>
      <c r="P126" s="305">
        <f t="shared" si="40"/>
        <v>56940400</v>
      </c>
      <c r="Q126" s="305">
        <f t="shared" si="40"/>
        <v>16655500</v>
      </c>
      <c r="R126" s="305">
        <f t="shared" si="27"/>
        <v>73595900</v>
      </c>
      <c r="S126" s="305">
        <f>'[8]SPJ FUNGSIONAL '!V132</f>
        <v>61883400</v>
      </c>
      <c r="T126" s="305">
        <f>T127</f>
        <v>13630500</v>
      </c>
      <c r="U126" s="305">
        <f t="shared" si="28"/>
        <v>75513900</v>
      </c>
      <c r="V126" s="305">
        <f t="shared" si="29"/>
        <v>16586100</v>
      </c>
      <c r="W126" s="305"/>
      <c r="X126" s="305">
        <f t="shared" si="34"/>
        <v>-1918000</v>
      </c>
      <c r="Y126" s="307">
        <f t="shared" si="30"/>
        <v>0.81991205211726381</v>
      </c>
    </row>
    <row r="127" spans="1:25" s="284" customFormat="1" ht="43.5" customHeight="1">
      <c r="A127" s="332">
        <v>7</v>
      </c>
      <c r="B127" s="346" t="s">
        <v>348</v>
      </c>
      <c r="C127" s="346" t="s">
        <v>348</v>
      </c>
      <c r="D127" s="333">
        <v>2</v>
      </c>
      <c r="E127" s="346" t="s">
        <v>367</v>
      </c>
      <c r="F127" s="346" t="s">
        <v>350</v>
      </c>
      <c r="G127" s="333">
        <v>5</v>
      </c>
      <c r="H127" s="333">
        <v>1</v>
      </c>
      <c r="I127" s="346" t="s">
        <v>350</v>
      </c>
      <c r="J127" s="378" t="s">
        <v>357</v>
      </c>
      <c r="K127" s="378" t="s">
        <v>350</v>
      </c>
      <c r="L127" s="363"/>
      <c r="M127" s="376"/>
      <c r="N127" s="374" t="s">
        <v>438</v>
      </c>
      <c r="O127" s="366">
        <f t="shared" si="40"/>
        <v>92100000</v>
      </c>
      <c r="P127" s="305">
        <f t="shared" si="40"/>
        <v>56940400</v>
      </c>
      <c r="Q127" s="305">
        <f t="shared" si="40"/>
        <v>16655500</v>
      </c>
      <c r="R127" s="305">
        <f t="shared" si="27"/>
        <v>73595900</v>
      </c>
      <c r="S127" s="305">
        <f>'[8]SPJ FUNGSIONAL '!V133</f>
        <v>61883400</v>
      </c>
      <c r="T127" s="305">
        <f>T128</f>
        <v>13630500</v>
      </c>
      <c r="U127" s="305">
        <f t="shared" si="28"/>
        <v>75513900</v>
      </c>
      <c r="V127" s="305">
        <f t="shared" si="29"/>
        <v>16586100</v>
      </c>
      <c r="W127" s="305"/>
      <c r="X127" s="305">
        <f t="shared" si="34"/>
        <v>-1918000</v>
      </c>
      <c r="Y127" s="307">
        <f t="shared" si="30"/>
        <v>0.81991205211726381</v>
      </c>
    </row>
    <row r="128" spans="1:25" s="284" customFormat="1" ht="43.5" customHeight="1">
      <c r="A128" s="347">
        <v>7</v>
      </c>
      <c r="B128" s="348" t="s">
        <v>348</v>
      </c>
      <c r="C128" s="348" t="s">
        <v>348</v>
      </c>
      <c r="D128" s="349">
        <v>2</v>
      </c>
      <c r="E128" s="348" t="s">
        <v>367</v>
      </c>
      <c r="F128" s="348" t="s">
        <v>350</v>
      </c>
      <c r="G128" s="349">
        <v>5</v>
      </c>
      <c r="H128" s="349">
        <v>1</v>
      </c>
      <c r="I128" s="348" t="s">
        <v>350</v>
      </c>
      <c r="J128" s="361" t="s">
        <v>357</v>
      </c>
      <c r="K128" s="361" t="s">
        <v>350</v>
      </c>
      <c r="L128" s="361" t="s">
        <v>380</v>
      </c>
      <c r="M128" s="413" t="s">
        <v>339</v>
      </c>
      <c r="N128" s="367" t="s">
        <v>439</v>
      </c>
      <c r="O128" s="352">
        <f>'[8]SPJ FUNGSIONAL '!O134</f>
        <v>92100000</v>
      </c>
      <c r="P128" s="353">
        <f>'[9]LRA SP2D'!$R$128</f>
        <v>56940400</v>
      </c>
      <c r="Q128" s="353">
        <v>16655500</v>
      </c>
      <c r="R128" s="353">
        <f t="shared" si="27"/>
        <v>73595900</v>
      </c>
      <c r="S128" s="353">
        <f>'[8]SPJ FUNGSIONAL '!V134</f>
        <v>61883400</v>
      </c>
      <c r="T128" s="353">
        <f>'[8]SPJ FUNGSIONAL '!W134</f>
        <v>13630500</v>
      </c>
      <c r="U128" s="353">
        <f t="shared" si="28"/>
        <v>75513900</v>
      </c>
      <c r="V128" s="353">
        <f t="shared" si="29"/>
        <v>16586100</v>
      </c>
      <c r="W128" s="353"/>
      <c r="X128" s="353">
        <f t="shared" si="34"/>
        <v>-1918000</v>
      </c>
      <c r="Y128" s="354">
        <f t="shared" si="30"/>
        <v>0.81991205211726381</v>
      </c>
    </row>
    <row r="129" spans="1:25" s="284" customFormat="1" ht="25" customHeight="1">
      <c r="A129" s="347"/>
      <c r="B129" s="349"/>
      <c r="C129" s="349"/>
      <c r="D129" s="349"/>
      <c r="E129" s="349"/>
      <c r="F129" s="349"/>
      <c r="G129" s="349"/>
      <c r="H129" s="349"/>
      <c r="I129" s="349"/>
      <c r="J129" s="363"/>
      <c r="K129" s="363"/>
      <c r="L129" s="363"/>
      <c r="M129" s="376"/>
      <c r="N129" s="367"/>
      <c r="O129" s="352"/>
      <c r="P129" s="353"/>
      <c r="Q129" s="353"/>
      <c r="R129" s="353">
        <f t="shared" si="27"/>
        <v>0</v>
      </c>
      <c r="S129" s="353"/>
      <c r="T129" s="353"/>
      <c r="U129" s="353">
        <f t="shared" si="28"/>
        <v>0</v>
      </c>
      <c r="V129" s="353">
        <f t="shared" si="29"/>
        <v>0</v>
      </c>
      <c r="W129" s="353">
        <f t="shared" si="31"/>
        <v>0</v>
      </c>
      <c r="X129" s="353">
        <f t="shared" si="34"/>
        <v>0</v>
      </c>
      <c r="Y129" s="354"/>
    </row>
    <row r="130" spans="1:25" s="284" customFormat="1" ht="45" customHeight="1">
      <c r="A130" s="338">
        <v>7</v>
      </c>
      <c r="B130" s="339" t="s">
        <v>348</v>
      </c>
      <c r="C130" s="339" t="s">
        <v>348</v>
      </c>
      <c r="D130" s="340">
        <v>2</v>
      </c>
      <c r="E130" s="339" t="s">
        <v>367</v>
      </c>
      <c r="F130" s="339" t="s">
        <v>361</v>
      </c>
      <c r="G130" s="340"/>
      <c r="H130" s="340"/>
      <c r="I130" s="340"/>
      <c r="J130" s="340"/>
      <c r="K130" s="340"/>
      <c r="L130" s="340"/>
      <c r="M130" s="341"/>
      <c r="N130" s="370" t="s">
        <v>145</v>
      </c>
      <c r="O130" s="343">
        <f t="shared" ref="O130:Q130" si="41">O131</f>
        <v>87952500</v>
      </c>
      <c r="P130" s="344">
        <f t="shared" si="41"/>
        <v>30500500</v>
      </c>
      <c r="Q130" s="344">
        <f t="shared" si="41"/>
        <v>26154000</v>
      </c>
      <c r="R130" s="344">
        <f t="shared" si="27"/>
        <v>56654500</v>
      </c>
      <c r="S130" s="344">
        <f>S131</f>
        <v>39545500</v>
      </c>
      <c r="T130" s="344">
        <f>T131</f>
        <v>18789000</v>
      </c>
      <c r="U130" s="344">
        <f t="shared" si="28"/>
        <v>58334500</v>
      </c>
      <c r="V130" s="344">
        <f t="shared" si="29"/>
        <v>29618000</v>
      </c>
      <c r="W130" s="344"/>
      <c r="X130" s="344">
        <f t="shared" si="34"/>
        <v>-1680000</v>
      </c>
      <c r="Y130" s="371">
        <f t="shared" si="30"/>
        <v>0.66325004974275892</v>
      </c>
    </row>
    <row r="131" spans="1:25" s="284" customFormat="1" ht="33.75" customHeight="1">
      <c r="A131" s="332">
        <v>7</v>
      </c>
      <c r="B131" s="346" t="s">
        <v>348</v>
      </c>
      <c r="C131" s="346" t="s">
        <v>348</v>
      </c>
      <c r="D131" s="333">
        <v>2</v>
      </c>
      <c r="E131" s="346" t="s">
        <v>367</v>
      </c>
      <c r="F131" s="346" t="s">
        <v>361</v>
      </c>
      <c r="G131" s="333">
        <v>5</v>
      </c>
      <c r="H131" s="333">
        <v>1</v>
      </c>
      <c r="I131" s="346" t="s">
        <v>350</v>
      </c>
      <c r="J131" s="379"/>
      <c r="K131" s="363"/>
      <c r="L131" s="363"/>
      <c r="M131" s="376"/>
      <c r="N131" s="374" t="s">
        <v>377</v>
      </c>
      <c r="O131" s="366">
        <f>O132+O136</f>
        <v>87952500</v>
      </c>
      <c r="P131" s="366">
        <f t="shared" ref="P131:Q131" si="42">P132+P136</f>
        <v>30500500</v>
      </c>
      <c r="Q131" s="366">
        <f t="shared" si="42"/>
        <v>26154000</v>
      </c>
      <c r="R131" s="305">
        <f t="shared" si="27"/>
        <v>56654500</v>
      </c>
      <c r="S131" s="366">
        <f t="shared" ref="S131:T131" si="43">S132+S136</f>
        <v>39545500</v>
      </c>
      <c r="T131" s="366">
        <f t="shared" si="43"/>
        <v>18789000</v>
      </c>
      <c r="U131" s="305">
        <f t="shared" si="28"/>
        <v>58334500</v>
      </c>
      <c r="V131" s="305">
        <f t="shared" si="29"/>
        <v>29618000</v>
      </c>
      <c r="W131" s="305"/>
      <c r="X131" s="305">
        <f t="shared" si="34"/>
        <v>-1680000</v>
      </c>
      <c r="Y131" s="307">
        <f t="shared" si="30"/>
        <v>0.66325004974275892</v>
      </c>
    </row>
    <row r="132" spans="1:25" s="284" customFormat="1" ht="33.75" customHeight="1">
      <c r="A132" s="332">
        <v>7</v>
      </c>
      <c r="B132" s="346" t="s">
        <v>348</v>
      </c>
      <c r="C132" s="346" t="s">
        <v>348</v>
      </c>
      <c r="D132" s="333">
        <v>2</v>
      </c>
      <c r="E132" s="346" t="s">
        <v>367</v>
      </c>
      <c r="F132" s="346" t="s">
        <v>361</v>
      </c>
      <c r="G132" s="333">
        <v>5</v>
      </c>
      <c r="H132" s="333">
        <v>1</v>
      </c>
      <c r="I132" s="346" t="s">
        <v>350</v>
      </c>
      <c r="J132" s="379"/>
      <c r="K132" s="363"/>
      <c r="L132" s="363"/>
      <c r="M132" s="376"/>
      <c r="N132" s="374" t="s">
        <v>398</v>
      </c>
      <c r="O132" s="366">
        <f>O133</f>
        <v>792500</v>
      </c>
      <c r="P132" s="366">
        <f t="shared" ref="P132:Q132" si="44">P133</f>
        <v>400000</v>
      </c>
      <c r="Q132" s="366">
        <f t="shared" si="44"/>
        <v>390000</v>
      </c>
      <c r="R132" s="305">
        <f>SUM(P132:Q132)</f>
        <v>790000</v>
      </c>
      <c r="S132" s="366">
        <f t="shared" ref="S132:T132" si="45">S133</f>
        <v>400000</v>
      </c>
      <c r="T132" s="366">
        <f t="shared" si="45"/>
        <v>390000</v>
      </c>
      <c r="U132" s="305">
        <f>SUM(S132:T132)</f>
        <v>790000</v>
      </c>
      <c r="V132" s="353">
        <f t="shared" si="29"/>
        <v>2500</v>
      </c>
      <c r="W132" s="353">
        <f t="shared" ref="W132:W135" si="46">R132-U132</f>
        <v>0</v>
      </c>
      <c r="X132" s="353">
        <f t="shared" si="34"/>
        <v>0</v>
      </c>
      <c r="Y132" s="354">
        <f t="shared" si="30"/>
        <v>0.99684542586750791</v>
      </c>
    </row>
    <row r="133" spans="1:25" s="284" customFormat="1" ht="33.75" customHeight="1">
      <c r="A133" s="386">
        <v>7</v>
      </c>
      <c r="B133" s="387" t="s">
        <v>348</v>
      </c>
      <c r="C133" s="387" t="s">
        <v>348</v>
      </c>
      <c r="D133" s="388">
        <v>2</v>
      </c>
      <c r="E133" s="387" t="s">
        <v>367</v>
      </c>
      <c r="F133" s="387" t="s">
        <v>361</v>
      </c>
      <c r="G133" s="388">
        <v>5</v>
      </c>
      <c r="H133" s="388">
        <v>1</v>
      </c>
      <c r="I133" s="387" t="s">
        <v>350</v>
      </c>
      <c r="J133" s="401" t="s">
        <v>348</v>
      </c>
      <c r="K133" s="401" t="s">
        <v>348</v>
      </c>
      <c r="L133" s="402"/>
      <c r="M133" s="403"/>
      <c r="N133" s="410" t="s">
        <v>440</v>
      </c>
      <c r="O133" s="366">
        <f>SUM(O134:O135)</f>
        <v>792500</v>
      </c>
      <c r="P133" s="366">
        <f t="shared" ref="P133:Q133" si="47">SUM(P134:P135)</f>
        <v>400000</v>
      </c>
      <c r="Q133" s="366">
        <f t="shared" si="47"/>
        <v>390000</v>
      </c>
      <c r="R133" s="305">
        <f>SUM(P133:Q133)</f>
        <v>790000</v>
      </c>
      <c r="S133" s="366">
        <f t="shared" ref="S133:T133" si="48">SUM(S134:S135)</f>
        <v>400000</v>
      </c>
      <c r="T133" s="366">
        <f t="shared" si="48"/>
        <v>390000</v>
      </c>
      <c r="U133" s="305">
        <f>SUM(S133:T133)</f>
        <v>790000</v>
      </c>
      <c r="V133" s="353">
        <f t="shared" si="29"/>
        <v>2500</v>
      </c>
      <c r="W133" s="353">
        <f t="shared" si="46"/>
        <v>0</v>
      </c>
      <c r="X133" s="353">
        <f t="shared" si="34"/>
        <v>0</v>
      </c>
      <c r="Y133" s="354">
        <f t="shared" si="30"/>
        <v>0.99684542586750791</v>
      </c>
    </row>
    <row r="134" spans="1:25" s="284" customFormat="1" ht="33.75" customHeight="1">
      <c r="A134" s="411">
        <v>7</v>
      </c>
      <c r="B134" s="408" t="s">
        <v>348</v>
      </c>
      <c r="C134" s="408" t="s">
        <v>348</v>
      </c>
      <c r="D134" s="407">
        <v>2</v>
      </c>
      <c r="E134" s="408" t="s">
        <v>367</v>
      </c>
      <c r="F134" s="408" t="s">
        <v>361</v>
      </c>
      <c r="G134" s="407">
        <v>5</v>
      </c>
      <c r="H134" s="407">
        <v>1</v>
      </c>
      <c r="I134" s="408" t="s">
        <v>350</v>
      </c>
      <c r="J134" s="406" t="s">
        <v>348</v>
      </c>
      <c r="K134" s="406" t="s">
        <v>348</v>
      </c>
      <c r="L134" s="406" t="s">
        <v>354</v>
      </c>
      <c r="M134" s="403">
        <v>4</v>
      </c>
      <c r="N134" s="409" t="s">
        <v>441</v>
      </c>
      <c r="O134" s="352">
        <f>'[8]SPJ FUNGSIONAL '!O140</f>
        <v>392500</v>
      </c>
      <c r="P134" s="305"/>
      <c r="Q134" s="353">
        <v>390000</v>
      </c>
      <c r="R134" s="353">
        <f>SUM(P134:Q134)</f>
        <v>390000</v>
      </c>
      <c r="S134" s="353"/>
      <c r="T134" s="353">
        <f>'[8]SPJ FUNGSIONAL '!W140</f>
        <v>390000</v>
      </c>
      <c r="U134" s="353">
        <f>SUM(S134:T134)</f>
        <v>390000</v>
      </c>
      <c r="V134" s="353">
        <f t="shared" si="29"/>
        <v>2500</v>
      </c>
      <c r="W134" s="353">
        <f t="shared" si="46"/>
        <v>0</v>
      </c>
      <c r="X134" s="353">
        <f t="shared" si="34"/>
        <v>0</v>
      </c>
      <c r="Y134" s="354">
        <f t="shared" si="30"/>
        <v>0.99363057324840764</v>
      </c>
    </row>
    <row r="135" spans="1:25" s="284" customFormat="1" ht="33.75" customHeight="1">
      <c r="A135" s="411">
        <v>7</v>
      </c>
      <c r="B135" s="408" t="s">
        <v>348</v>
      </c>
      <c r="C135" s="408" t="s">
        <v>348</v>
      </c>
      <c r="D135" s="407">
        <v>2</v>
      </c>
      <c r="E135" s="408" t="s">
        <v>367</v>
      </c>
      <c r="F135" s="408" t="s">
        <v>361</v>
      </c>
      <c r="G135" s="407">
        <v>5</v>
      </c>
      <c r="H135" s="407">
        <v>1</v>
      </c>
      <c r="I135" s="408" t="s">
        <v>350</v>
      </c>
      <c r="J135" s="406" t="s">
        <v>348</v>
      </c>
      <c r="K135" s="406" t="s">
        <v>348</v>
      </c>
      <c r="L135" s="406" t="s">
        <v>442</v>
      </c>
      <c r="M135" s="403">
        <v>0</v>
      </c>
      <c r="N135" s="409" t="s">
        <v>443</v>
      </c>
      <c r="O135" s="352">
        <f>'[8]SPJ FUNGSIONAL '!O141</f>
        <v>400000</v>
      </c>
      <c r="P135" s="353">
        <f>'[9]LRA SP2D'!$R$135</f>
        <v>400000</v>
      </c>
      <c r="Q135" s="353">
        <f>T135</f>
        <v>0</v>
      </c>
      <c r="R135" s="353">
        <f>SUM(P135:Q135)</f>
        <v>400000</v>
      </c>
      <c r="S135" s="353">
        <f>'[8]SPJ FUNGSIONAL '!V141</f>
        <v>400000</v>
      </c>
      <c r="T135" s="353">
        <f>'[8]SPJ FUNGSIONAL '!W141</f>
        <v>0</v>
      </c>
      <c r="U135" s="353">
        <f>SUM(S135:T135)</f>
        <v>400000</v>
      </c>
      <c r="V135" s="353">
        <f t="shared" si="29"/>
        <v>0</v>
      </c>
      <c r="W135" s="353">
        <f t="shared" si="46"/>
        <v>0</v>
      </c>
      <c r="X135" s="353">
        <f t="shared" si="34"/>
        <v>0</v>
      </c>
      <c r="Y135" s="354">
        <f t="shared" si="30"/>
        <v>1</v>
      </c>
    </row>
    <row r="136" spans="1:25" s="284" customFormat="1" ht="33.75" customHeight="1">
      <c r="A136" s="332">
        <v>7</v>
      </c>
      <c r="B136" s="346" t="s">
        <v>348</v>
      </c>
      <c r="C136" s="346" t="s">
        <v>348</v>
      </c>
      <c r="D136" s="333">
        <v>2</v>
      </c>
      <c r="E136" s="346" t="s">
        <v>367</v>
      </c>
      <c r="F136" s="346" t="s">
        <v>361</v>
      </c>
      <c r="G136" s="333">
        <v>5</v>
      </c>
      <c r="H136" s="333">
        <v>1</v>
      </c>
      <c r="I136" s="346" t="s">
        <v>350</v>
      </c>
      <c r="J136" s="378" t="s">
        <v>357</v>
      </c>
      <c r="K136" s="363"/>
      <c r="L136" s="363"/>
      <c r="M136" s="376"/>
      <c r="N136" s="374" t="s">
        <v>437</v>
      </c>
      <c r="O136" s="366">
        <f>O137</f>
        <v>87160000</v>
      </c>
      <c r="P136" s="366">
        <f t="shared" ref="P136:V136" si="49">P137</f>
        <v>30100500</v>
      </c>
      <c r="Q136" s="366">
        <f t="shared" si="49"/>
        <v>25764000</v>
      </c>
      <c r="R136" s="366">
        <f t="shared" si="49"/>
        <v>55864500</v>
      </c>
      <c r="S136" s="366">
        <f t="shared" si="49"/>
        <v>39145500</v>
      </c>
      <c r="T136" s="366">
        <f t="shared" si="49"/>
        <v>18399000</v>
      </c>
      <c r="U136" s="366">
        <f t="shared" si="49"/>
        <v>57544500</v>
      </c>
      <c r="V136" s="366">
        <f t="shared" si="49"/>
        <v>29615500</v>
      </c>
      <c r="W136" s="305"/>
      <c r="X136" s="305">
        <f t="shared" si="34"/>
        <v>-1680000</v>
      </c>
      <c r="Y136" s="307">
        <f t="shared" si="30"/>
        <v>0.66021684258834323</v>
      </c>
    </row>
    <row r="137" spans="1:25" s="284" customFormat="1" ht="33.75" customHeight="1">
      <c r="A137" s="332">
        <v>7</v>
      </c>
      <c r="B137" s="346" t="s">
        <v>348</v>
      </c>
      <c r="C137" s="346" t="s">
        <v>348</v>
      </c>
      <c r="D137" s="333">
        <v>2</v>
      </c>
      <c r="E137" s="346" t="s">
        <v>367</v>
      </c>
      <c r="F137" s="346" t="s">
        <v>361</v>
      </c>
      <c r="G137" s="333">
        <v>5</v>
      </c>
      <c r="H137" s="333">
        <v>1</v>
      </c>
      <c r="I137" s="346" t="s">
        <v>350</v>
      </c>
      <c r="J137" s="378" t="s">
        <v>357</v>
      </c>
      <c r="K137" s="378" t="s">
        <v>350</v>
      </c>
      <c r="L137" s="363"/>
      <c r="M137" s="376"/>
      <c r="N137" s="374" t="s">
        <v>438</v>
      </c>
      <c r="O137" s="366">
        <f>SUM(O138:O142)</f>
        <v>87160000</v>
      </c>
      <c r="P137" s="366">
        <f t="shared" ref="P137:V137" si="50">SUM(P138:P142)</f>
        <v>30100500</v>
      </c>
      <c r="Q137" s="366">
        <f t="shared" si="50"/>
        <v>25764000</v>
      </c>
      <c r="R137" s="366">
        <f t="shared" si="50"/>
        <v>55864500</v>
      </c>
      <c r="S137" s="366">
        <f t="shared" si="50"/>
        <v>39145500</v>
      </c>
      <c r="T137" s="366">
        <f t="shared" si="50"/>
        <v>18399000</v>
      </c>
      <c r="U137" s="366">
        <f t="shared" si="50"/>
        <v>57544500</v>
      </c>
      <c r="V137" s="366">
        <f t="shared" si="50"/>
        <v>29615500</v>
      </c>
      <c r="W137" s="305"/>
      <c r="X137" s="305">
        <f t="shared" si="34"/>
        <v>-1680000</v>
      </c>
      <c r="Y137" s="307">
        <f t="shared" si="30"/>
        <v>0.66021684258834323</v>
      </c>
    </row>
    <row r="138" spans="1:25" s="284" customFormat="1" ht="65.25" customHeight="1">
      <c r="A138" s="347">
        <v>7</v>
      </c>
      <c r="B138" s="348" t="s">
        <v>348</v>
      </c>
      <c r="C138" s="348" t="s">
        <v>348</v>
      </c>
      <c r="D138" s="349">
        <v>2</v>
      </c>
      <c r="E138" s="348" t="s">
        <v>367</v>
      </c>
      <c r="F138" s="348" t="s">
        <v>361</v>
      </c>
      <c r="G138" s="349">
        <v>5</v>
      </c>
      <c r="H138" s="349">
        <v>1</v>
      </c>
      <c r="I138" s="348" t="s">
        <v>350</v>
      </c>
      <c r="J138" s="361" t="s">
        <v>357</v>
      </c>
      <c r="K138" s="361" t="s">
        <v>350</v>
      </c>
      <c r="L138" s="361" t="s">
        <v>444</v>
      </c>
      <c r="M138" s="376">
        <v>7</v>
      </c>
      <c r="N138" s="367" t="s">
        <v>445</v>
      </c>
      <c r="O138" s="352">
        <f>'[8]SPJ FUNGSIONAL '!O144</f>
        <v>10000000</v>
      </c>
      <c r="P138" s="353">
        <f>'[9]LRA SP2D'!$R$138</f>
        <v>5720500</v>
      </c>
      <c r="Q138" s="353">
        <v>4275000</v>
      </c>
      <c r="R138" s="353">
        <f t="shared" si="27"/>
        <v>9995500</v>
      </c>
      <c r="S138" s="353">
        <f>'[8]SPJ FUNGSIONAL '!V144</f>
        <v>5720500</v>
      </c>
      <c r="T138" s="353">
        <f>'[8]SPJ FUNGSIONAL '!W144</f>
        <v>4275000</v>
      </c>
      <c r="U138" s="353">
        <f t="shared" si="28"/>
        <v>9995500</v>
      </c>
      <c r="V138" s="353">
        <f t="shared" si="29"/>
        <v>4500</v>
      </c>
      <c r="W138" s="353">
        <f t="shared" si="31"/>
        <v>0</v>
      </c>
      <c r="X138" s="353">
        <f t="shared" si="34"/>
        <v>0</v>
      </c>
      <c r="Y138" s="354">
        <f t="shared" si="30"/>
        <v>0.99955000000000005</v>
      </c>
    </row>
    <row r="139" spans="1:25" s="284" customFormat="1" ht="65.25" customHeight="1">
      <c r="A139" s="411">
        <v>7</v>
      </c>
      <c r="B139" s="408" t="s">
        <v>348</v>
      </c>
      <c r="C139" s="408" t="s">
        <v>348</v>
      </c>
      <c r="D139" s="407">
        <v>2</v>
      </c>
      <c r="E139" s="408" t="s">
        <v>367</v>
      </c>
      <c r="F139" s="408" t="s">
        <v>361</v>
      </c>
      <c r="G139" s="407">
        <v>5</v>
      </c>
      <c r="H139" s="407">
        <v>1</v>
      </c>
      <c r="I139" s="408" t="s">
        <v>350</v>
      </c>
      <c r="J139" s="406" t="s">
        <v>357</v>
      </c>
      <c r="K139" s="406" t="s">
        <v>350</v>
      </c>
      <c r="L139" s="406" t="s">
        <v>444</v>
      </c>
      <c r="M139" s="403">
        <v>8</v>
      </c>
      <c r="N139" s="412" t="s">
        <v>446</v>
      </c>
      <c r="O139" s="352">
        <f>'[8]SPJ FUNGSIONAL '!O145</f>
        <v>2000000</v>
      </c>
      <c r="P139" s="353"/>
      <c r="Q139" s="353">
        <v>1000000</v>
      </c>
      <c r="R139" s="353">
        <f t="shared" si="27"/>
        <v>1000000</v>
      </c>
      <c r="S139" s="353">
        <f>'[9]LRA SP2D'!$U$139</f>
        <v>1000000</v>
      </c>
      <c r="T139" s="353">
        <f>'[8]SPJ FUNGSIONAL '!W145</f>
        <v>0</v>
      </c>
      <c r="U139" s="353">
        <f>SUM(S139:T139)</f>
        <v>1000000</v>
      </c>
      <c r="V139" s="353">
        <f t="shared" si="29"/>
        <v>1000000</v>
      </c>
      <c r="W139" s="353"/>
      <c r="X139" s="353">
        <f t="shared" si="34"/>
        <v>0</v>
      </c>
      <c r="Y139" s="354">
        <f t="shared" si="30"/>
        <v>0.5</v>
      </c>
    </row>
    <row r="140" spans="1:25" s="284" customFormat="1" ht="60.75" customHeight="1">
      <c r="A140" s="347">
        <v>7</v>
      </c>
      <c r="B140" s="348" t="s">
        <v>348</v>
      </c>
      <c r="C140" s="348" t="s">
        <v>348</v>
      </c>
      <c r="D140" s="349">
        <v>2</v>
      </c>
      <c r="E140" s="348" t="s">
        <v>367</v>
      </c>
      <c r="F140" s="348" t="s">
        <v>361</v>
      </c>
      <c r="G140" s="349">
        <v>5</v>
      </c>
      <c r="H140" s="349">
        <v>1</v>
      </c>
      <c r="I140" s="348" t="s">
        <v>350</v>
      </c>
      <c r="J140" s="361" t="s">
        <v>357</v>
      </c>
      <c r="K140" s="361" t="s">
        <v>350</v>
      </c>
      <c r="L140" s="361" t="s">
        <v>447</v>
      </c>
      <c r="M140" s="376">
        <v>5</v>
      </c>
      <c r="N140" s="367" t="s">
        <v>448</v>
      </c>
      <c r="O140" s="352">
        <f>'[8]SPJ FUNGSIONAL '!O146</f>
        <v>6600000</v>
      </c>
      <c r="P140" s="353"/>
      <c r="Q140" s="353">
        <v>3774000</v>
      </c>
      <c r="R140" s="353">
        <f t="shared" si="27"/>
        <v>3774000</v>
      </c>
      <c r="S140" s="353">
        <f>'[8]SPJ FUNGSIONAL '!V146</f>
        <v>900000</v>
      </c>
      <c r="T140" s="353">
        <f>'[8]SPJ FUNGSIONAL '!W146</f>
        <v>2874000</v>
      </c>
      <c r="U140" s="353">
        <f t="shared" si="28"/>
        <v>3774000</v>
      </c>
      <c r="V140" s="353">
        <f t="shared" si="29"/>
        <v>2826000</v>
      </c>
      <c r="W140" s="353"/>
      <c r="X140" s="353">
        <f t="shared" si="34"/>
        <v>0</v>
      </c>
      <c r="Y140" s="354">
        <f t="shared" si="30"/>
        <v>0.57181818181818178</v>
      </c>
    </row>
    <row r="141" spans="1:25" s="284" customFormat="1" ht="45" customHeight="1">
      <c r="A141" s="347">
        <v>7</v>
      </c>
      <c r="B141" s="348" t="s">
        <v>348</v>
      </c>
      <c r="C141" s="348" t="s">
        <v>348</v>
      </c>
      <c r="D141" s="349">
        <v>2</v>
      </c>
      <c r="E141" s="348" t="s">
        <v>367</v>
      </c>
      <c r="F141" s="348" t="s">
        <v>361</v>
      </c>
      <c r="G141" s="349">
        <v>5</v>
      </c>
      <c r="H141" s="349">
        <v>1</v>
      </c>
      <c r="I141" s="348" t="s">
        <v>350</v>
      </c>
      <c r="J141" s="361" t="s">
        <v>357</v>
      </c>
      <c r="K141" s="361" t="s">
        <v>350</v>
      </c>
      <c r="L141" s="361" t="s">
        <v>449</v>
      </c>
      <c r="M141" s="376">
        <v>5</v>
      </c>
      <c r="N141" s="367" t="s">
        <v>450</v>
      </c>
      <c r="O141" s="352">
        <f>'[8]SPJ FUNGSIONAL '!O147</f>
        <v>42340000</v>
      </c>
      <c r="P141" s="353">
        <f>'[9]LRA SP2D'!$R$141</f>
        <v>15980000</v>
      </c>
      <c r="Q141" s="353">
        <f>12180000</f>
        <v>12180000</v>
      </c>
      <c r="R141" s="353">
        <f t="shared" si="27"/>
        <v>28160000</v>
      </c>
      <c r="S141" s="353">
        <f>'[8]SPJ FUNGSIONAL '!V147</f>
        <v>21990000</v>
      </c>
      <c r="T141" s="373">
        <f>'[8]SPJ FUNGSIONAL '!W147</f>
        <v>7200000</v>
      </c>
      <c r="U141" s="353">
        <f t="shared" si="28"/>
        <v>29190000</v>
      </c>
      <c r="V141" s="353">
        <f t="shared" si="29"/>
        <v>13150000</v>
      </c>
      <c r="W141" s="353"/>
      <c r="X141" s="353">
        <f t="shared" si="34"/>
        <v>-1030000</v>
      </c>
      <c r="Y141" s="354">
        <f t="shared" si="30"/>
        <v>0.6894189891355692</v>
      </c>
    </row>
    <row r="142" spans="1:25" s="284" customFormat="1" ht="45" customHeight="1">
      <c r="A142" s="347">
        <v>7</v>
      </c>
      <c r="B142" s="348" t="s">
        <v>348</v>
      </c>
      <c r="C142" s="348" t="s">
        <v>348</v>
      </c>
      <c r="D142" s="349">
        <v>2</v>
      </c>
      <c r="E142" s="348" t="s">
        <v>367</v>
      </c>
      <c r="F142" s="348" t="s">
        <v>361</v>
      </c>
      <c r="G142" s="349">
        <v>5</v>
      </c>
      <c r="H142" s="349">
        <v>1</v>
      </c>
      <c r="I142" s="348" t="s">
        <v>350</v>
      </c>
      <c r="J142" s="361" t="s">
        <v>357</v>
      </c>
      <c r="K142" s="361" t="s">
        <v>350</v>
      </c>
      <c r="L142" s="361" t="s">
        <v>449</v>
      </c>
      <c r="M142" s="413" t="s">
        <v>451</v>
      </c>
      <c r="N142" s="367" t="s">
        <v>452</v>
      </c>
      <c r="O142" s="352">
        <f>'[8]SPJ FUNGSIONAL '!O148</f>
        <v>26220000</v>
      </c>
      <c r="P142" s="353">
        <f>'[9]LRA SP2D'!$R$142</f>
        <v>8400000</v>
      </c>
      <c r="Q142" s="353">
        <v>4535000</v>
      </c>
      <c r="R142" s="353">
        <f t="shared" si="27"/>
        <v>12935000</v>
      </c>
      <c r="S142" s="353">
        <f>'[8]SPJ FUNGSIONAL '!V148</f>
        <v>9535000</v>
      </c>
      <c r="T142" s="353">
        <f>'[8]SPJ FUNGSIONAL '!W148</f>
        <v>4050000</v>
      </c>
      <c r="U142" s="353">
        <f t="shared" si="28"/>
        <v>13585000</v>
      </c>
      <c r="V142" s="353">
        <f t="shared" si="29"/>
        <v>12635000</v>
      </c>
      <c r="W142" s="353"/>
      <c r="X142" s="353">
        <f t="shared" si="34"/>
        <v>-650000</v>
      </c>
      <c r="Y142" s="354">
        <f t="shared" si="30"/>
        <v>0.51811594202898548</v>
      </c>
    </row>
    <row r="143" spans="1:25" s="284" customFormat="1" ht="25" customHeight="1">
      <c r="A143" s="375"/>
      <c r="B143" s="363"/>
      <c r="C143" s="363"/>
      <c r="D143" s="363"/>
      <c r="E143" s="363"/>
      <c r="F143" s="363"/>
      <c r="G143" s="363"/>
      <c r="H143" s="363"/>
      <c r="I143" s="363"/>
      <c r="J143" s="363"/>
      <c r="K143" s="363"/>
      <c r="L143" s="363"/>
      <c r="M143" s="376"/>
      <c r="N143" s="351"/>
      <c r="O143" s="352"/>
      <c r="P143" s="353"/>
      <c r="Q143" s="353"/>
      <c r="R143" s="353"/>
      <c r="S143" s="353"/>
      <c r="T143" s="353"/>
      <c r="U143" s="353">
        <f t="shared" si="28"/>
        <v>0</v>
      </c>
      <c r="V143" s="353">
        <f t="shared" si="29"/>
        <v>0</v>
      </c>
      <c r="W143" s="353">
        <f t="shared" si="31"/>
        <v>0</v>
      </c>
      <c r="X143" s="353">
        <f t="shared" si="34"/>
        <v>0</v>
      </c>
      <c r="Y143" s="354"/>
    </row>
    <row r="144" spans="1:25" s="284" customFormat="1" ht="40.5" customHeight="1">
      <c r="A144" s="338">
        <v>7</v>
      </c>
      <c r="B144" s="339" t="s">
        <v>348</v>
      </c>
      <c r="C144" s="339" t="s">
        <v>348</v>
      </c>
      <c r="D144" s="340">
        <v>2</v>
      </c>
      <c r="E144" s="339" t="s">
        <v>367</v>
      </c>
      <c r="F144" s="339" t="s">
        <v>367</v>
      </c>
      <c r="G144" s="340"/>
      <c r="H144" s="340"/>
      <c r="I144" s="340"/>
      <c r="J144" s="340"/>
      <c r="K144" s="340"/>
      <c r="L144" s="340"/>
      <c r="M144" s="341"/>
      <c r="N144" s="370" t="s">
        <v>453</v>
      </c>
      <c r="O144" s="343">
        <f>O145</f>
        <v>89770000</v>
      </c>
      <c r="P144" s="344">
        <f t="shared" ref="P144:Q147" si="51">P145</f>
        <v>62933203</v>
      </c>
      <c r="Q144" s="344">
        <f t="shared" si="51"/>
        <v>4320500</v>
      </c>
      <c r="R144" s="344">
        <f t="shared" si="27"/>
        <v>67253703</v>
      </c>
      <c r="S144" s="344">
        <f t="shared" ref="S144:T147" si="52">S145</f>
        <v>62933203</v>
      </c>
      <c r="T144" s="344">
        <f t="shared" si="52"/>
        <v>6199500</v>
      </c>
      <c r="U144" s="344">
        <f t="shared" si="28"/>
        <v>69132703</v>
      </c>
      <c r="V144" s="344">
        <f t="shared" si="29"/>
        <v>20637297</v>
      </c>
      <c r="W144" s="344"/>
      <c r="X144" s="344">
        <f t="shared" si="34"/>
        <v>-1879000</v>
      </c>
      <c r="Y144" s="371">
        <f t="shared" si="30"/>
        <v>0.77010920129219118</v>
      </c>
    </row>
    <row r="145" spans="1:25" s="284" customFormat="1" ht="40.5" customHeight="1">
      <c r="A145" s="332">
        <v>7</v>
      </c>
      <c r="B145" s="346" t="s">
        <v>348</v>
      </c>
      <c r="C145" s="346" t="s">
        <v>348</v>
      </c>
      <c r="D145" s="333">
        <v>2</v>
      </c>
      <c r="E145" s="346" t="s">
        <v>367</v>
      </c>
      <c r="F145" s="346" t="s">
        <v>367</v>
      </c>
      <c r="G145" s="333">
        <v>5</v>
      </c>
      <c r="H145" s="333">
        <v>1</v>
      </c>
      <c r="I145" s="346" t="s">
        <v>350</v>
      </c>
      <c r="J145" s="379"/>
      <c r="K145" s="363"/>
      <c r="L145" s="363"/>
      <c r="M145" s="376"/>
      <c r="N145" s="374" t="s">
        <v>377</v>
      </c>
      <c r="O145" s="366">
        <f>O146</f>
        <v>89770000</v>
      </c>
      <c r="P145" s="305">
        <f t="shared" si="51"/>
        <v>62933203</v>
      </c>
      <c r="Q145" s="305">
        <f t="shared" si="51"/>
        <v>4320500</v>
      </c>
      <c r="R145" s="305">
        <f t="shared" si="27"/>
        <v>67253703</v>
      </c>
      <c r="S145" s="305">
        <f t="shared" si="52"/>
        <v>62933203</v>
      </c>
      <c r="T145" s="305">
        <f t="shared" si="52"/>
        <v>6199500</v>
      </c>
      <c r="U145" s="305">
        <f t="shared" si="28"/>
        <v>69132703</v>
      </c>
      <c r="V145" s="305">
        <f t="shared" si="29"/>
        <v>20637297</v>
      </c>
      <c r="W145" s="305"/>
      <c r="X145" s="305">
        <f t="shared" si="34"/>
        <v>-1879000</v>
      </c>
      <c r="Y145" s="307">
        <f t="shared" si="30"/>
        <v>0.77010920129219118</v>
      </c>
    </row>
    <row r="146" spans="1:25" s="284" customFormat="1" ht="40.5" customHeight="1">
      <c r="A146" s="332">
        <v>7</v>
      </c>
      <c r="B146" s="346" t="s">
        <v>348</v>
      </c>
      <c r="C146" s="346" t="s">
        <v>348</v>
      </c>
      <c r="D146" s="333">
        <v>2</v>
      </c>
      <c r="E146" s="346" t="s">
        <v>367</v>
      </c>
      <c r="F146" s="346" t="s">
        <v>367</v>
      </c>
      <c r="G146" s="333">
        <v>5</v>
      </c>
      <c r="H146" s="333">
        <v>1</v>
      </c>
      <c r="I146" s="346" t="s">
        <v>350</v>
      </c>
      <c r="J146" s="378" t="s">
        <v>357</v>
      </c>
      <c r="K146" s="363"/>
      <c r="L146" s="363"/>
      <c r="M146" s="376"/>
      <c r="N146" s="374" t="s">
        <v>437</v>
      </c>
      <c r="O146" s="366">
        <f>O147</f>
        <v>89770000</v>
      </c>
      <c r="P146" s="305">
        <f t="shared" si="51"/>
        <v>62933203</v>
      </c>
      <c r="Q146" s="305">
        <f t="shared" si="51"/>
        <v>4320500</v>
      </c>
      <c r="R146" s="305">
        <f t="shared" si="27"/>
        <v>67253703</v>
      </c>
      <c r="S146" s="305">
        <f t="shared" si="52"/>
        <v>62933203</v>
      </c>
      <c r="T146" s="305">
        <f t="shared" si="52"/>
        <v>6199500</v>
      </c>
      <c r="U146" s="305">
        <f t="shared" si="28"/>
        <v>69132703</v>
      </c>
      <c r="V146" s="305">
        <f t="shared" si="29"/>
        <v>20637297</v>
      </c>
      <c r="W146" s="305"/>
      <c r="X146" s="305">
        <f t="shared" si="34"/>
        <v>-1879000</v>
      </c>
      <c r="Y146" s="307">
        <f t="shared" si="30"/>
        <v>0.77010920129219118</v>
      </c>
    </row>
    <row r="147" spans="1:25" s="284" customFormat="1" ht="40.5" customHeight="1">
      <c r="A147" s="332">
        <v>7</v>
      </c>
      <c r="B147" s="346" t="s">
        <v>348</v>
      </c>
      <c r="C147" s="346" t="s">
        <v>348</v>
      </c>
      <c r="D147" s="333">
        <v>2</v>
      </c>
      <c r="E147" s="346" t="s">
        <v>367</v>
      </c>
      <c r="F147" s="346" t="s">
        <v>367</v>
      </c>
      <c r="G147" s="333">
        <v>5</v>
      </c>
      <c r="H147" s="333">
        <v>1</v>
      </c>
      <c r="I147" s="346" t="s">
        <v>350</v>
      </c>
      <c r="J147" s="378" t="s">
        <v>357</v>
      </c>
      <c r="K147" s="378" t="s">
        <v>357</v>
      </c>
      <c r="L147" s="363"/>
      <c r="M147" s="376"/>
      <c r="N147" s="374" t="s">
        <v>454</v>
      </c>
      <c r="O147" s="366">
        <f>O148</f>
        <v>89770000</v>
      </c>
      <c r="P147" s="305">
        <f t="shared" si="51"/>
        <v>62933203</v>
      </c>
      <c r="Q147" s="305">
        <f t="shared" si="51"/>
        <v>4320500</v>
      </c>
      <c r="R147" s="305">
        <f t="shared" si="27"/>
        <v>67253703</v>
      </c>
      <c r="S147" s="305">
        <f t="shared" si="52"/>
        <v>62933203</v>
      </c>
      <c r="T147" s="305">
        <f t="shared" si="52"/>
        <v>6199500</v>
      </c>
      <c r="U147" s="305">
        <f t="shared" si="28"/>
        <v>69132703</v>
      </c>
      <c r="V147" s="305">
        <f t="shared" si="29"/>
        <v>20637297</v>
      </c>
      <c r="W147" s="305"/>
      <c r="X147" s="305">
        <f t="shared" si="34"/>
        <v>-1879000</v>
      </c>
      <c r="Y147" s="307">
        <f t="shared" si="30"/>
        <v>0.77010920129219118</v>
      </c>
    </row>
    <row r="148" spans="1:25" s="284" customFormat="1" ht="40.5" customHeight="1">
      <c r="A148" s="347">
        <v>7</v>
      </c>
      <c r="B148" s="348" t="s">
        <v>348</v>
      </c>
      <c r="C148" s="348" t="s">
        <v>348</v>
      </c>
      <c r="D148" s="349">
        <v>2</v>
      </c>
      <c r="E148" s="348" t="s">
        <v>367</v>
      </c>
      <c r="F148" s="348" t="s">
        <v>367</v>
      </c>
      <c r="G148" s="349">
        <v>5</v>
      </c>
      <c r="H148" s="349">
        <v>1</v>
      </c>
      <c r="I148" s="348" t="s">
        <v>350</v>
      </c>
      <c r="J148" s="361" t="s">
        <v>357</v>
      </c>
      <c r="K148" s="361" t="s">
        <v>357</v>
      </c>
      <c r="L148" s="361" t="s">
        <v>354</v>
      </c>
      <c r="M148" s="413" t="s">
        <v>336</v>
      </c>
      <c r="N148" s="367" t="s">
        <v>455</v>
      </c>
      <c r="O148" s="352">
        <f>'[8]SPJ FUNGSIONAL '!O154</f>
        <v>89770000</v>
      </c>
      <c r="P148" s="353">
        <f>'[9]LRA SP2D'!$R$148</f>
        <v>62933203</v>
      </c>
      <c r="Q148" s="353">
        <f>T148-1879000</f>
        <v>4320500</v>
      </c>
      <c r="R148" s="353">
        <f t="shared" si="27"/>
        <v>67253703</v>
      </c>
      <c r="S148" s="353">
        <f>'[8]SPJ FUNGSIONAL '!V154</f>
        <v>62933203</v>
      </c>
      <c r="T148" s="353">
        <f>'[8]SPJ FUNGSIONAL '!W154</f>
        <v>6199500</v>
      </c>
      <c r="U148" s="353">
        <f t="shared" si="28"/>
        <v>69132703</v>
      </c>
      <c r="V148" s="353">
        <f t="shared" si="29"/>
        <v>20637297</v>
      </c>
      <c r="W148" s="353"/>
      <c r="X148" s="353">
        <f t="shared" si="34"/>
        <v>-1879000</v>
      </c>
      <c r="Y148" s="354">
        <f t="shared" si="30"/>
        <v>0.77010920129219118</v>
      </c>
    </row>
    <row r="149" spans="1:25" s="284" customFormat="1" ht="25" customHeight="1">
      <c r="A149" s="414"/>
      <c r="B149" s="415"/>
      <c r="C149" s="415"/>
      <c r="D149" s="415"/>
      <c r="E149" s="415"/>
      <c r="F149" s="415"/>
      <c r="G149" s="415"/>
      <c r="H149" s="415"/>
      <c r="I149" s="415"/>
      <c r="J149" s="415"/>
      <c r="K149" s="415"/>
      <c r="L149" s="415"/>
      <c r="M149" s="416"/>
      <c r="N149" s="417"/>
      <c r="O149" s="418"/>
      <c r="P149" s="353"/>
      <c r="Q149" s="353"/>
      <c r="R149" s="353">
        <f t="shared" si="27"/>
        <v>0</v>
      </c>
      <c r="S149" s="353"/>
      <c r="T149" s="353"/>
      <c r="U149" s="353">
        <f t="shared" si="28"/>
        <v>0</v>
      </c>
      <c r="V149" s="353">
        <f t="shared" si="29"/>
        <v>0</v>
      </c>
      <c r="W149" s="353">
        <f t="shared" ref="W149:W184" si="53">R149-U149</f>
        <v>0</v>
      </c>
      <c r="X149" s="353">
        <f t="shared" si="34"/>
        <v>0</v>
      </c>
      <c r="Y149" s="354"/>
    </row>
    <row r="150" spans="1:25" s="284" customFormat="1" ht="42" customHeight="1">
      <c r="A150" s="419">
        <v>7</v>
      </c>
      <c r="B150" s="420" t="s">
        <v>348</v>
      </c>
      <c r="C150" s="420" t="s">
        <v>350</v>
      </c>
      <c r="D150" s="421"/>
      <c r="E150" s="421"/>
      <c r="F150" s="421"/>
      <c r="G150" s="421"/>
      <c r="H150" s="421"/>
      <c r="I150" s="421"/>
      <c r="J150" s="421"/>
      <c r="K150" s="421"/>
      <c r="L150" s="421"/>
      <c r="M150" s="422"/>
      <c r="N150" s="423" t="s">
        <v>151</v>
      </c>
      <c r="O150" s="424">
        <f>O152+O172</f>
        <v>3780676250</v>
      </c>
      <c r="P150" s="424">
        <f t="shared" ref="P150:V150" si="54">P152+P172</f>
        <v>2885849925</v>
      </c>
      <c r="Q150" s="424">
        <f t="shared" si="54"/>
        <v>503743791</v>
      </c>
      <c r="R150" s="424">
        <f t="shared" si="54"/>
        <v>3389593716</v>
      </c>
      <c r="S150" s="424">
        <f t="shared" si="54"/>
        <v>2988314106</v>
      </c>
      <c r="T150" s="424">
        <f t="shared" si="54"/>
        <v>648530889</v>
      </c>
      <c r="U150" s="424">
        <f t="shared" si="54"/>
        <v>3636844995</v>
      </c>
      <c r="V150" s="424">
        <f t="shared" si="54"/>
        <v>143831255</v>
      </c>
      <c r="W150" s="315"/>
      <c r="X150" s="315">
        <f t="shared" si="34"/>
        <v>-247251279</v>
      </c>
      <c r="Y150" s="425">
        <f t="shared" si="30"/>
        <v>0.96195620955378025</v>
      </c>
    </row>
    <row r="151" spans="1:25" s="284" customFormat="1" ht="25" customHeight="1">
      <c r="A151" s="414"/>
      <c r="B151" s="415"/>
      <c r="C151" s="415"/>
      <c r="D151" s="415"/>
      <c r="E151" s="415"/>
      <c r="F151" s="415"/>
      <c r="G151" s="415"/>
      <c r="H151" s="415"/>
      <c r="I151" s="415"/>
      <c r="J151" s="415"/>
      <c r="K151" s="415"/>
      <c r="L151" s="415"/>
      <c r="M151" s="416"/>
      <c r="N151" s="417"/>
      <c r="O151" s="418"/>
      <c r="P151" s="353"/>
      <c r="Q151" s="353"/>
      <c r="R151" s="353">
        <f t="shared" si="27"/>
        <v>0</v>
      </c>
      <c r="S151" s="353"/>
      <c r="T151" s="353"/>
      <c r="U151" s="353">
        <f t="shared" si="28"/>
        <v>0</v>
      </c>
      <c r="V151" s="353">
        <f t="shared" si="29"/>
        <v>0</v>
      </c>
      <c r="W151" s="353">
        <f t="shared" si="53"/>
        <v>0</v>
      </c>
      <c r="X151" s="353">
        <f t="shared" si="34"/>
        <v>0</v>
      </c>
      <c r="Y151" s="354"/>
    </row>
    <row r="152" spans="1:25" s="284" customFormat="1" ht="42" customHeight="1">
      <c r="A152" s="426">
        <v>7</v>
      </c>
      <c r="B152" s="427" t="s">
        <v>348</v>
      </c>
      <c r="C152" s="427" t="s">
        <v>350</v>
      </c>
      <c r="D152" s="326">
        <v>2</v>
      </c>
      <c r="E152" s="325" t="s">
        <v>357</v>
      </c>
      <c r="F152" s="326"/>
      <c r="G152" s="326"/>
      <c r="H152" s="428"/>
      <c r="I152" s="428"/>
      <c r="J152" s="428"/>
      <c r="K152" s="428"/>
      <c r="L152" s="428"/>
      <c r="M152" s="428"/>
      <c r="N152" s="328" t="s">
        <v>456</v>
      </c>
      <c r="O152" s="429">
        <f>O154</f>
        <v>1612820050</v>
      </c>
      <c r="P152" s="430">
        <f>P154</f>
        <v>1336386750</v>
      </c>
      <c r="Q152" s="430">
        <f>Q154</f>
        <v>129226286</v>
      </c>
      <c r="R152" s="330">
        <f t="shared" si="27"/>
        <v>1465613036</v>
      </c>
      <c r="S152" s="430">
        <f>S154</f>
        <v>1339885706</v>
      </c>
      <c r="T152" s="430">
        <f>T154</f>
        <v>245887746</v>
      </c>
      <c r="U152" s="330">
        <f t="shared" si="28"/>
        <v>1585773452</v>
      </c>
      <c r="V152" s="330">
        <f t="shared" si="29"/>
        <v>27046598</v>
      </c>
      <c r="W152" s="330"/>
      <c r="X152" s="330">
        <f t="shared" si="34"/>
        <v>-120160416</v>
      </c>
      <c r="Y152" s="331">
        <f t="shared" si="30"/>
        <v>0.98323024444047558</v>
      </c>
    </row>
    <row r="153" spans="1:25" s="284" customFormat="1" ht="25" customHeight="1">
      <c r="A153" s="414"/>
      <c r="B153" s="415"/>
      <c r="C153" s="415"/>
      <c r="D153" s="415"/>
      <c r="E153" s="415"/>
      <c r="F153" s="415"/>
      <c r="G153" s="415"/>
      <c r="H153" s="415"/>
      <c r="I153" s="415"/>
      <c r="J153" s="415"/>
      <c r="K153" s="415"/>
      <c r="L153" s="415"/>
      <c r="M153" s="416"/>
      <c r="N153" s="302"/>
      <c r="O153" s="431"/>
      <c r="P153" s="432"/>
      <c r="Q153" s="432"/>
      <c r="R153" s="305"/>
      <c r="S153" s="432"/>
      <c r="T153" s="432"/>
      <c r="U153" s="305"/>
      <c r="V153" s="305"/>
      <c r="W153" s="305"/>
      <c r="X153" s="305"/>
      <c r="Y153" s="307"/>
    </row>
    <row r="154" spans="1:25" s="284" customFormat="1" ht="78.75" customHeight="1">
      <c r="A154" s="433">
        <v>7</v>
      </c>
      <c r="B154" s="434" t="s">
        <v>348</v>
      </c>
      <c r="C154" s="434" t="s">
        <v>350</v>
      </c>
      <c r="D154" s="340">
        <v>2</v>
      </c>
      <c r="E154" s="435" t="s">
        <v>357</v>
      </c>
      <c r="F154" s="435" t="s">
        <v>348</v>
      </c>
      <c r="G154" s="436"/>
      <c r="H154" s="437"/>
      <c r="I154" s="437"/>
      <c r="J154" s="437"/>
      <c r="K154" s="437"/>
      <c r="L154" s="437"/>
      <c r="M154" s="438"/>
      <c r="N154" s="370" t="s">
        <v>457</v>
      </c>
      <c r="O154" s="343">
        <f t="shared" ref="O154:T154" si="55">O155</f>
        <v>1612820050</v>
      </c>
      <c r="P154" s="344">
        <f t="shared" si="55"/>
        <v>1336386750</v>
      </c>
      <c r="Q154" s="344">
        <f t="shared" si="55"/>
        <v>129226286</v>
      </c>
      <c r="R154" s="344">
        <f t="shared" si="27"/>
        <v>1465613036</v>
      </c>
      <c r="S154" s="344">
        <f t="shared" si="55"/>
        <v>1339885706</v>
      </c>
      <c r="T154" s="344">
        <f t="shared" si="55"/>
        <v>245887746</v>
      </c>
      <c r="U154" s="344">
        <f t="shared" si="28"/>
        <v>1585773452</v>
      </c>
      <c r="V154" s="344">
        <f t="shared" si="29"/>
        <v>27046598</v>
      </c>
      <c r="W154" s="344"/>
      <c r="X154" s="344">
        <f t="shared" si="34"/>
        <v>-120160416</v>
      </c>
      <c r="Y154" s="371">
        <f t="shared" si="30"/>
        <v>0.98323024444047558</v>
      </c>
    </row>
    <row r="155" spans="1:25" s="284" customFormat="1" ht="39.75" customHeight="1">
      <c r="A155" s="439">
        <v>7</v>
      </c>
      <c r="B155" s="440" t="s">
        <v>348</v>
      </c>
      <c r="C155" s="440" t="s">
        <v>350</v>
      </c>
      <c r="D155" s="333">
        <v>2</v>
      </c>
      <c r="E155" s="346" t="s">
        <v>357</v>
      </c>
      <c r="F155" s="346" t="s">
        <v>348</v>
      </c>
      <c r="G155" s="333">
        <v>5</v>
      </c>
      <c r="H155" s="333">
        <v>1</v>
      </c>
      <c r="I155" s="346" t="s">
        <v>350</v>
      </c>
      <c r="J155" s="379"/>
      <c r="K155" s="363"/>
      <c r="L155" s="363"/>
      <c r="M155" s="376"/>
      <c r="N155" s="374" t="s">
        <v>377</v>
      </c>
      <c r="O155" s="431">
        <f>O156+O161+O168</f>
        <v>1612820050</v>
      </c>
      <c r="P155" s="432">
        <f>P156+P161+P168</f>
        <v>1336386750</v>
      </c>
      <c r="Q155" s="432">
        <f>Q156+Q161+Q168</f>
        <v>129226286</v>
      </c>
      <c r="R155" s="305">
        <f t="shared" ref="R155:R218" si="56">P155+Q155</f>
        <v>1465613036</v>
      </c>
      <c r="S155" s="432">
        <f>S156+S161+S168</f>
        <v>1339885706</v>
      </c>
      <c r="T155" s="432">
        <f>T156+T161+T168</f>
        <v>245887746</v>
      </c>
      <c r="U155" s="305">
        <f t="shared" ref="U155:U218" si="57">S155+T155</f>
        <v>1585773452</v>
      </c>
      <c r="V155" s="305">
        <f t="shared" ref="V155:V218" si="58">O155-U155</f>
        <v>27046598</v>
      </c>
      <c r="W155" s="305"/>
      <c r="X155" s="305">
        <f t="shared" si="34"/>
        <v>-120160416</v>
      </c>
      <c r="Y155" s="307">
        <f t="shared" ref="Y155:Y218" si="59">U155/O155*100%</f>
        <v>0.98323024444047558</v>
      </c>
    </row>
    <row r="156" spans="1:25" s="284" customFormat="1" ht="39.75" customHeight="1">
      <c r="A156" s="439">
        <v>7</v>
      </c>
      <c r="B156" s="440" t="s">
        <v>348</v>
      </c>
      <c r="C156" s="440" t="s">
        <v>350</v>
      </c>
      <c r="D156" s="333">
        <v>2</v>
      </c>
      <c r="E156" s="346" t="s">
        <v>357</v>
      </c>
      <c r="F156" s="346" t="s">
        <v>348</v>
      </c>
      <c r="G156" s="333">
        <v>5</v>
      </c>
      <c r="H156" s="333">
        <v>1</v>
      </c>
      <c r="I156" s="346" t="s">
        <v>350</v>
      </c>
      <c r="J156" s="378" t="s">
        <v>348</v>
      </c>
      <c r="K156" s="363"/>
      <c r="L156" s="363"/>
      <c r="M156" s="376"/>
      <c r="N156" s="374" t="s">
        <v>398</v>
      </c>
      <c r="O156" s="431">
        <f>O157</f>
        <v>34381000</v>
      </c>
      <c r="P156" s="432">
        <f>P157</f>
        <v>22645100</v>
      </c>
      <c r="Q156" s="432">
        <f>Q157</f>
        <v>5347500</v>
      </c>
      <c r="R156" s="305">
        <f t="shared" si="56"/>
        <v>27992600</v>
      </c>
      <c r="S156" s="432">
        <f>S157</f>
        <v>25117600</v>
      </c>
      <c r="T156" s="432">
        <f>T157</f>
        <v>3676000</v>
      </c>
      <c r="U156" s="305">
        <f t="shared" si="57"/>
        <v>28793600</v>
      </c>
      <c r="V156" s="305">
        <f t="shared" si="58"/>
        <v>5587400</v>
      </c>
      <c r="W156" s="305"/>
      <c r="X156" s="305">
        <f t="shared" si="34"/>
        <v>-801000</v>
      </c>
      <c r="Y156" s="307">
        <f t="shared" si="59"/>
        <v>0.83748582065675814</v>
      </c>
    </row>
    <row r="157" spans="1:25" s="284" customFormat="1" ht="39.75" customHeight="1">
      <c r="A157" s="439">
        <v>7</v>
      </c>
      <c r="B157" s="440" t="s">
        <v>348</v>
      </c>
      <c r="C157" s="440" t="s">
        <v>350</v>
      </c>
      <c r="D157" s="333">
        <v>2</v>
      </c>
      <c r="E157" s="346" t="s">
        <v>357</v>
      </c>
      <c r="F157" s="346" t="s">
        <v>348</v>
      </c>
      <c r="G157" s="333">
        <v>5</v>
      </c>
      <c r="H157" s="333">
        <v>1</v>
      </c>
      <c r="I157" s="346" t="s">
        <v>350</v>
      </c>
      <c r="J157" s="378" t="s">
        <v>348</v>
      </c>
      <c r="K157" s="378" t="s">
        <v>348</v>
      </c>
      <c r="L157" s="363"/>
      <c r="M157" s="376"/>
      <c r="N157" s="374" t="s">
        <v>379</v>
      </c>
      <c r="O157" s="431">
        <f>SUM(O158:O160)</f>
        <v>34381000</v>
      </c>
      <c r="P157" s="432">
        <f>SUM(P158:P160)</f>
        <v>22645100</v>
      </c>
      <c r="Q157" s="432">
        <f>SUM(Q158:Q160)</f>
        <v>5347500</v>
      </c>
      <c r="R157" s="305">
        <f>P157+Q157</f>
        <v>27992600</v>
      </c>
      <c r="S157" s="432">
        <f>SUM(S158:S160)</f>
        <v>25117600</v>
      </c>
      <c r="T157" s="432">
        <f>SUM(T158:T160)</f>
        <v>3676000</v>
      </c>
      <c r="U157" s="305">
        <f t="shared" si="57"/>
        <v>28793600</v>
      </c>
      <c r="V157" s="305">
        <f t="shared" si="58"/>
        <v>5587400</v>
      </c>
      <c r="W157" s="305"/>
      <c r="X157" s="305">
        <f t="shared" si="34"/>
        <v>-801000</v>
      </c>
      <c r="Y157" s="307">
        <f t="shared" si="59"/>
        <v>0.83748582065675814</v>
      </c>
    </row>
    <row r="158" spans="1:25" s="284" customFormat="1" ht="39.75" customHeight="1">
      <c r="A158" s="441">
        <v>7</v>
      </c>
      <c r="B158" s="442" t="s">
        <v>348</v>
      </c>
      <c r="C158" s="442" t="s">
        <v>350</v>
      </c>
      <c r="D158" s="349">
        <v>2</v>
      </c>
      <c r="E158" s="348" t="s">
        <v>357</v>
      </c>
      <c r="F158" s="348" t="s">
        <v>348</v>
      </c>
      <c r="G158" s="349">
        <v>5</v>
      </c>
      <c r="H158" s="349">
        <v>1</v>
      </c>
      <c r="I158" s="348" t="s">
        <v>350</v>
      </c>
      <c r="J158" s="361" t="s">
        <v>348</v>
      </c>
      <c r="K158" s="361" t="s">
        <v>348</v>
      </c>
      <c r="L158" s="361" t="s">
        <v>354</v>
      </c>
      <c r="M158" s="376">
        <v>4</v>
      </c>
      <c r="N158" s="367" t="s">
        <v>434</v>
      </c>
      <c r="O158" s="418">
        <f>'[8]SPJ FUNGSIONAL '!O164</f>
        <v>8595750</v>
      </c>
      <c r="P158" s="353">
        <f>'[9]LRA SP2D'!$R$158</f>
        <v>7748850</v>
      </c>
      <c r="Q158" s="353">
        <f t="shared" ref="Q158" si="60">T158</f>
        <v>700000</v>
      </c>
      <c r="R158" s="353">
        <f t="shared" si="56"/>
        <v>8448850</v>
      </c>
      <c r="S158" s="353">
        <f>'[8]SPJ FUNGSIONAL '!V164</f>
        <v>7748850</v>
      </c>
      <c r="T158" s="353">
        <f>'[8]SPJ FUNGSIONAL '!W164</f>
        <v>700000</v>
      </c>
      <c r="U158" s="353">
        <f t="shared" si="57"/>
        <v>8448850</v>
      </c>
      <c r="V158" s="353">
        <f t="shared" si="58"/>
        <v>146900</v>
      </c>
      <c r="W158" s="353"/>
      <c r="X158" s="353">
        <f t="shared" si="34"/>
        <v>0</v>
      </c>
      <c r="Y158" s="354">
        <f t="shared" si="59"/>
        <v>0.98291015909024804</v>
      </c>
    </row>
    <row r="159" spans="1:25" s="284" customFormat="1" ht="39.75" customHeight="1">
      <c r="A159" s="441">
        <v>7</v>
      </c>
      <c r="B159" s="442" t="s">
        <v>348</v>
      </c>
      <c r="C159" s="442" t="s">
        <v>350</v>
      </c>
      <c r="D159" s="349">
        <v>2</v>
      </c>
      <c r="E159" s="348" t="s">
        <v>357</v>
      </c>
      <c r="F159" s="348" t="s">
        <v>348</v>
      </c>
      <c r="G159" s="349">
        <v>5</v>
      </c>
      <c r="H159" s="349">
        <v>1</v>
      </c>
      <c r="I159" s="348" t="s">
        <v>350</v>
      </c>
      <c r="J159" s="361" t="s">
        <v>348</v>
      </c>
      <c r="K159" s="361" t="s">
        <v>348</v>
      </c>
      <c r="L159" s="361" t="s">
        <v>380</v>
      </c>
      <c r="M159" s="413" t="s">
        <v>420</v>
      </c>
      <c r="N159" s="367" t="s">
        <v>389</v>
      </c>
      <c r="O159" s="418">
        <f>'[8]SPJ FUNGSIONAL '!O165</f>
        <v>10667500</v>
      </c>
      <c r="P159" s="353">
        <f>'[9]LRA SP2D'!$R$159</f>
        <v>5410000</v>
      </c>
      <c r="Q159" s="353">
        <v>3472500</v>
      </c>
      <c r="R159" s="353">
        <f t="shared" si="56"/>
        <v>8882500</v>
      </c>
      <c r="S159" s="353">
        <f>'[8]SPJ FUNGSIONAL '!V165</f>
        <v>7882500</v>
      </c>
      <c r="T159" s="353">
        <f>'[8]SPJ FUNGSIONAL '!W165</f>
        <v>1000000</v>
      </c>
      <c r="U159" s="353">
        <f t="shared" si="57"/>
        <v>8882500</v>
      </c>
      <c r="V159" s="353">
        <f t="shared" si="58"/>
        <v>1785000</v>
      </c>
      <c r="W159" s="353"/>
      <c r="X159" s="353">
        <f t="shared" si="34"/>
        <v>0</v>
      </c>
      <c r="Y159" s="354">
        <f t="shared" si="59"/>
        <v>0.83266932270916338</v>
      </c>
    </row>
    <row r="160" spans="1:25" s="284" customFormat="1" ht="39.75" customHeight="1">
      <c r="A160" s="441">
        <v>7</v>
      </c>
      <c r="B160" s="442" t="s">
        <v>348</v>
      </c>
      <c r="C160" s="442" t="s">
        <v>350</v>
      </c>
      <c r="D160" s="349">
        <v>2</v>
      </c>
      <c r="E160" s="348" t="s">
        <v>357</v>
      </c>
      <c r="F160" s="348" t="s">
        <v>348</v>
      </c>
      <c r="G160" s="349">
        <v>5</v>
      </c>
      <c r="H160" s="349">
        <v>1</v>
      </c>
      <c r="I160" s="348" t="s">
        <v>350</v>
      </c>
      <c r="J160" s="361" t="s">
        <v>348</v>
      </c>
      <c r="K160" s="361" t="s">
        <v>348</v>
      </c>
      <c r="L160" s="361" t="s">
        <v>380</v>
      </c>
      <c r="M160" s="413">
        <v>6</v>
      </c>
      <c r="N160" s="367" t="s">
        <v>458</v>
      </c>
      <c r="O160" s="418">
        <f>'[8]SPJ FUNGSIONAL '!O166</f>
        <v>15117750</v>
      </c>
      <c r="P160" s="353">
        <f>'[9]LRA SP2D'!$R$160</f>
        <v>9486250</v>
      </c>
      <c r="Q160" s="353">
        <f>1175000</f>
        <v>1175000</v>
      </c>
      <c r="R160" s="353">
        <f t="shared" si="56"/>
        <v>10661250</v>
      </c>
      <c r="S160" s="353">
        <f>'[8]SPJ FUNGSIONAL '!V166</f>
        <v>9486250</v>
      </c>
      <c r="T160" s="373">
        <f>'[8]SPJ FUNGSIONAL '!W166</f>
        <v>1976000</v>
      </c>
      <c r="U160" s="353">
        <f t="shared" si="57"/>
        <v>11462250</v>
      </c>
      <c r="V160" s="353">
        <f t="shared" si="58"/>
        <v>3655500</v>
      </c>
      <c r="W160" s="353"/>
      <c r="X160" s="353">
        <f t="shared" si="34"/>
        <v>-801000</v>
      </c>
      <c r="Y160" s="354">
        <f t="shared" si="59"/>
        <v>0.75819814456516343</v>
      </c>
    </row>
    <row r="161" spans="1:25" s="284" customFormat="1" ht="39.75" customHeight="1">
      <c r="A161" s="439">
        <v>7</v>
      </c>
      <c r="B161" s="440" t="s">
        <v>348</v>
      </c>
      <c r="C161" s="440" t="s">
        <v>350</v>
      </c>
      <c r="D161" s="333">
        <v>2</v>
      </c>
      <c r="E161" s="346" t="s">
        <v>357</v>
      </c>
      <c r="F161" s="346" t="s">
        <v>348</v>
      </c>
      <c r="G161" s="333">
        <v>5</v>
      </c>
      <c r="H161" s="333">
        <v>1</v>
      </c>
      <c r="I161" s="346" t="s">
        <v>350</v>
      </c>
      <c r="J161" s="378" t="s">
        <v>350</v>
      </c>
      <c r="K161" s="363"/>
      <c r="L161" s="363"/>
      <c r="M161" s="376"/>
      <c r="N161" s="374" t="s">
        <v>391</v>
      </c>
      <c r="O161" s="431">
        <f>O162+O165</f>
        <v>1494268800</v>
      </c>
      <c r="P161" s="432">
        <f>P162+P165</f>
        <v>1239660568</v>
      </c>
      <c r="Q161" s="432">
        <f>Q162+Q165</f>
        <v>116075856</v>
      </c>
      <c r="R161" s="305">
        <f>P161+Q161</f>
        <v>1355736424</v>
      </c>
      <c r="S161" s="432">
        <f>S162+S165</f>
        <v>1239755544</v>
      </c>
      <c r="T161" s="432">
        <f>T162+T165</f>
        <v>235340296</v>
      </c>
      <c r="U161" s="305">
        <f t="shared" si="57"/>
        <v>1475095840</v>
      </c>
      <c r="V161" s="305">
        <f t="shared" si="58"/>
        <v>19172960</v>
      </c>
      <c r="W161" s="305"/>
      <c r="X161" s="305">
        <f t="shared" si="34"/>
        <v>-119359416</v>
      </c>
      <c r="Y161" s="307">
        <f t="shared" si="59"/>
        <v>0.987169001989468</v>
      </c>
    </row>
    <row r="162" spans="1:25" s="284" customFormat="1" ht="39.75" customHeight="1">
      <c r="A162" s="439">
        <v>7</v>
      </c>
      <c r="B162" s="440" t="s">
        <v>348</v>
      </c>
      <c r="C162" s="440" t="s">
        <v>350</v>
      </c>
      <c r="D162" s="333">
        <v>2</v>
      </c>
      <c r="E162" s="346" t="s">
        <v>357</v>
      </c>
      <c r="F162" s="346" t="s">
        <v>348</v>
      </c>
      <c r="G162" s="333">
        <v>5</v>
      </c>
      <c r="H162" s="333">
        <v>1</v>
      </c>
      <c r="I162" s="346" t="s">
        <v>350</v>
      </c>
      <c r="J162" s="378" t="s">
        <v>350</v>
      </c>
      <c r="K162" s="378" t="s">
        <v>348</v>
      </c>
      <c r="L162" s="363"/>
      <c r="M162" s="376"/>
      <c r="N162" s="374" t="s">
        <v>459</v>
      </c>
      <c r="O162" s="431">
        <f>SUM(O163:O164)</f>
        <v>1477680000</v>
      </c>
      <c r="P162" s="432">
        <f>SUM(P163:P164)</f>
        <v>1232846000</v>
      </c>
      <c r="Q162" s="432">
        <f>SUM(Q163:Q164)</f>
        <v>115506000</v>
      </c>
      <c r="R162" s="305">
        <f>P162+Q162</f>
        <v>1348352000</v>
      </c>
      <c r="S162" s="432">
        <f>SUM(S163:S164)</f>
        <v>1232846000</v>
      </c>
      <c r="T162" s="432">
        <f>SUM(T163:T164)</f>
        <v>234546000</v>
      </c>
      <c r="U162" s="305">
        <f t="shared" si="57"/>
        <v>1467392000</v>
      </c>
      <c r="V162" s="305">
        <f t="shared" si="58"/>
        <v>10288000</v>
      </c>
      <c r="W162" s="305"/>
      <c r="X162" s="305">
        <f t="shared" si="34"/>
        <v>-119040000</v>
      </c>
      <c r="Y162" s="307">
        <f t="shared" si="59"/>
        <v>0.99303773482756752</v>
      </c>
    </row>
    <row r="163" spans="1:25" s="284" customFormat="1" ht="39.75" customHeight="1">
      <c r="A163" s="441">
        <v>7</v>
      </c>
      <c r="B163" s="442" t="s">
        <v>348</v>
      </c>
      <c r="C163" s="442" t="s">
        <v>350</v>
      </c>
      <c r="D163" s="349">
        <v>2</v>
      </c>
      <c r="E163" s="348" t="s">
        <v>357</v>
      </c>
      <c r="F163" s="348" t="s">
        <v>348</v>
      </c>
      <c r="G163" s="349">
        <v>5</v>
      </c>
      <c r="H163" s="349">
        <v>1</v>
      </c>
      <c r="I163" s="348" t="s">
        <v>350</v>
      </c>
      <c r="J163" s="361" t="s">
        <v>350</v>
      </c>
      <c r="K163" s="361" t="s">
        <v>348</v>
      </c>
      <c r="L163" s="361" t="s">
        <v>380</v>
      </c>
      <c r="M163" s="413" t="s">
        <v>420</v>
      </c>
      <c r="N163" s="367" t="s">
        <v>460</v>
      </c>
      <c r="O163" s="418">
        <f>'[8]SPJ FUNGSIONAL '!O169</f>
        <v>1475280000</v>
      </c>
      <c r="P163" s="353">
        <f>'[9]LRA SP2D'!$R$163</f>
        <v>1232720000</v>
      </c>
      <c r="Q163" s="353">
        <v>115120000</v>
      </c>
      <c r="R163" s="353">
        <f t="shared" si="56"/>
        <v>1347840000</v>
      </c>
      <c r="S163" s="353">
        <f>'[8]SPJ FUNGSIONAL '!V169</f>
        <v>1232720000</v>
      </c>
      <c r="T163" s="353">
        <f>'[8]SPJ FUNGSIONAL '!W169</f>
        <v>234160000</v>
      </c>
      <c r="U163" s="353">
        <f t="shared" si="57"/>
        <v>1466880000</v>
      </c>
      <c r="V163" s="353">
        <f t="shared" si="58"/>
        <v>8400000</v>
      </c>
      <c r="W163" s="353"/>
      <c r="X163" s="353">
        <f t="shared" si="34"/>
        <v>-119040000</v>
      </c>
      <c r="Y163" s="354">
        <f t="shared" si="59"/>
        <v>0.99430616560924023</v>
      </c>
    </row>
    <row r="164" spans="1:25" s="284" customFormat="1" ht="39.75" customHeight="1">
      <c r="A164" s="441">
        <v>7</v>
      </c>
      <c r="B164" s="442" t="s">
        <v>348</v>
      </c>
      <c r="C164" s="442" t="s">
        <v>350</v>
      </c>
      <c r="D164" s="349">
        <v>2</v>
      </c>
      <c r="E164" s="348" t="s">
        <v>357</v>
      </c>
      <c r="F164" s="348" t="s">
        <v>348</v>
      </c>
      <c r="G164" s="349">
        <v>5</v>
      </c>
      <c r="H164" s="349">
        <v>1</v>
      </c>
      <c r="I164" s="348" t="s">
        <v>350</v>
      </c>
      <c r="J164" s="361" t="s">
        <v>350</v>
      </c>
      <c r="K164" s="361" t="s">
        <v>348</v>
      </c>
      <c r="L164" s="361" t="s">
        <v>419</v>
      </c>
      <c r="M164" s="376">
        <v>7</v>
      </c>
      <c r="N164" s="351" t="s">
        <v>436</v>
      </c>
      <c r="O164" s="418">
        <f>'[8]SPJ FUNGSIONAL '!O170</f>
        <v>2400000</v>
      </c>
      <c r="P164" s="353">
        <f>'[9]LRA SP2D'!$R$164</f>
        <v>126000</v>
      </c>
      <c r="Q164" s="353">
        <v>386000</v>
      </c>
      <c r="R164" s="353">
        <f t="shared" si="56"/>
        <v>512000</v>
      </c>
      <c r="S164" s="353">
        <f>'[9]LRA SP2D'!$U$164</f>
        <v>126000</v>
      </c>
      <c r="T164" s="353">
        <f>'[8]SPJ FUNGSIONAL '!W170</f>
        <v>386000</v>
      </c>
      <c r="U164" s="353">
        <f t="shared" si="57"/>
        <v>512000</v>
      </c>
      <c r="V164" s="353">
        <f t="shared" si="58"/>
        <v>1888000</v>
      </c>
      <c r="W164" s="353">
        <f t="shared" si="53"/>
        <v>0</v>
      </c>
      <c r="X164" s="353">
        <f t="shared" si="34"/>
        <v>0</v>
      </c>
      <c r="Y164" s="354">
        <f t="shared" si="59"/>
        <v>0.21333333333333335</v>
      </c>
    </row>
    <row r="165" spans="1:25" s="284" customFormat="1" ht="39.75" customHeight="1">
      <c r="A165" s="439">
        <v>7</v>
      </c>
      <c r="B165" s="440" t="s">
        <v>348</v>
      </c>
      <c r="C165" s="440" t="s">
        <v>350</v>
      </c>
      <c r="D165" s="333">
        <v>2</v>
      </c>
      <c r="E165" s="346" t="s">
        <v>357</v>
      </c>
      <c r="F165" s="346" t="s">
        <v>348</v>
      </c>
      <c r="G165" s="333">
        <v>5</v>
      </c>
      <c r="H165" s="333">
        <v>1</v>
      </c>
      <c r="I165" s="346" t="s">
        <v>350</v>
      </c>
      <c r="J165" s="378" t="s">
        <v>350</v>
      </c>
      <c r="K165" s="378" t="s">
        <v>350</v>
      </c>
      <c r="L165" s="363"/>
      <c r="M165" s="376"/>
      <c r="N165" s="374" t="s">
        <v>428</v>
      </c>
      <c r="O165" s="431">
        <f>SUM(O166:O167)</f>
        <v>16588800</v>
      </c>
      <c r="P165" s="432">
        <f>SUM(P166:P167)</f>
        <v>6814568</v>
      </c>
      <c r="Q165" s="432">
        <f>SUM(Q166:Q167)</f>
        <v>569856</v>
      </c>
      <c r="R165" s="305">
        <f t="shared" si="56"/>
        <v>7384424</v>
      </c>
      <c r="S165" s="432">
        <f>SUM(S166:S167)</f>
        <v>6909544</v>
      </c>
      <c r="T165" s="432">
        <f>SUM(T166:T167)</f>
        <v>794296</v>
      </c>
      <c r="U165" s="305">
        <f t="shared" si="57"/>
        <v>7703840</v>
      </c>
      <c r="V165" s="305">
        <f t="shared" si="58"/>
        <v>8884960</v>
      </c>
      <c r="W165" s="305"/>
      <c r="X165" s="305">
        <f t="shared" si="34"/>
        <v>-319416</v>
      </c>
      <c r="Y165" s="307">
        <f t="shared" si="59"/>
        <v>0.46440007716049381</v>
      </c>
    </row>
    <row r="166" spans="1:25" s="284" customFormat="1" ht="39.75" customHeight="1">
      <c r="A166" s="441">
        <v>7</v>
      </c>
      <c r="B166" s="442" t="s">
        <v>348</v>
      </c>
      <c r="C166" s="442" t="s">
        <v>350</v>
      </c>
      <c r="D166" s="349">
        <v>2</v>
      </c>
      <c r="E166" s="348" t="s">
        <v>357</v>
      </c>
      <c r="F166" s="348" t="s">
        <v>348</v>
      </c>
      <c r="G166" s="349">
        <v>5</v>
      </c>
      <c r="H166" s="349">
        <v>1</v>
      </c>
      <c r="I166" s="348" t="s">
        <v>350</v>
      </c>
      <c r="J166" s="361" t="s">
        <v>350</v>
      </c>
      <c r="K166" s="361" t="s">
        <v>350</v>
      </c>
      <c r="L166" s="361" t="s">
        <v>354</v>
      </c>
      <c r="M166" s="376">
        <v>6</v>
      </c>
      <c r="N166" s="367" t="s">
        <v>461</v>
      </c>
      <c r="O166" s="418">
        <f>'[8]SPJ FUNGSIONAL '!O172</f>
        <v>4147200</v>
      </c>
      <c r="P166" s="353">
        <f>'[9]LRA SP2D'!$R$166</f>
        <v>3075300</v>
      </c>
      <c r="Q166" s="353">
        <f>253260</f>
        <v>253260</v>
      </c>
      <c r="R166" s="353">
        <f t="shared" si="56"/>
        <v>3328560</v>
      </c>
      <c r="S166" s="353">
        <f>'[8]SPJ FUNGSIONAL '!V172</f>
        <v>3117510</v>
      </c>
      <c r="T166" s="373">
        <f>'[8]SPJ FUNGSIONAL '!W172</f>
        <v>440010</v>
      </c>
      <c r="U166" s="353">
        <f t="shared" si="57"/>
        <v>3557520</v>
      </c>
      <c r="V166" s="353">
        <f t="shared" si="58"/>
        <v>589680</v>
      </c>
      <c r="W166" s="353"/>
      <c r="X166" s="353">
        <f t="shared" si="34"/>
        <v>-228960</v>
      </c>
      <c r="Y166" s="354">
        <f t="shared" si="59"/>
        <v>0.85781249999999998</v>
      </c>
    </row>
    <row r="167" spans="1:25" s="284" customFormat="1" ht="39.75" customHeight="1">
      <c r="A167" s="441">
        <v>7</v>
      </c>
      <c r="B167" s="442" t="s">
        <v>348</v>
      </c>
      <c r="C167" s="442" t="s">
        <v>350</v>
      </c>
      <c r="D167" s="349">
        <v>2</v>
      </c>
      <c r="E167" s="348" t="s">
        <v>357</v>
      </c>
      <c r="F167" s="348" t="s">
        <v>348</v>
      </c>
      <c r="G167" s="349">
        <v>5</v>
      </c>
      <c r="H167" s="349">
        <v>1</v>
      </c>
      <c r="I167" s="348" t="s">
        <v>350</v>
      </c>
      <c r="J167" s="361" t="s">
        <v>350</v>
      </c>
      <c r="K167" s="361" t="s">
        <v>350</v>
      </c>
      <c r="L167" s="361" t="s">
        <v>354</v>
      </c>
      <c r="M167" s="376">
        <v>7</v>
      </c>
      <c r="N167" s="351" t="s">
        <v>462</v>
      </c>
      <c r="O167" s="418">
        <f>'[8]SPJ FUNGSIONAL '!O173</f>
        <v>12441600</v>
      </c>
      <c r="P167" s="353">
        <f>'[9]LRA SP2D'!$R$167</f>
        <v>3739268</v>
      </c>
      <c r="Q167" s="353">
        <v>316596</v>
      </c>
      <c r="R167" s="353">
        <f t="shared" si="56"/>
        <v>4055864</v>
      </c>
      <c r="S167" s="353">
        <f>'[8]SPJ FUNGSIONAL '!V173</f>
        <v>3792034</v>
      </c>
      <c r="T167" s="353">
        <f>'[8]SPJ FUNGSIONAL '!W173</f>
        <v>354286</v>
      </c>
      <c r="U167" s="353">
        <f t="shared" si="57"/>
        <v>4146320</v>
      </c>
      <c r="V167" s="353">
        <f t="shared" si="58"/>
        <v>8295280</v>
      </c>
      <c r="W167" s="353"/>
      <c r="X167" s="353">
        <f t="shared" si="34"/>
        <v>-90456</v>
      </c>
      <c r="Y167" s="354">
        <f t="shared" si="59"/>
        <v>0.33326260288065845</v>
      </c>
    </row>
    <row r="168" spans="1:25" s="284" customFormat="1" ht="39.75" customHeight="1">
      <c r="A168" s="439">
        <v>7</v>
      </c>
      <c r="B168" s="440" t="s">
        <v>348</v>
      </c>
      <c r="C168" s="440" t="s">
        <v>350</v>
      </c>
      <c r="D168" s="333">
        <v>2</v>
      </c>
      <c r="E168" s="346" t="s">
        <v>357</v>
      </c>
      <c r="F168" s="346" t="s">
        <v>336</v>
      </c>
      <c r="G168" s="333">
        <v>5</v>
      </c>
      <c r="H168" s="333">
        <v>1</v>
      </c>
      <c r="I168" s="346" t="s">
        <v>350</v>
      </c>
      <c r="J168" s="378" t="s">
        <v>357</v>
      </c>
      <c r="K168" s="379"/>
      <c r="L168" s="363"/>
      <c r="M168" s="376"/>
      <c r="N168" s="374" t="s">
        <v>463</v>
      </c>
      <c r="O168" s="431">
        <f t="shared" ref="O168:Q169" si="61">O169</f>
        <v>84170250</v>
      </c>
      <c r="P168" s="432">
        <f t="shared" si="61"/>
        <v>74081082</v>
      </c>
      <c r="Q168" s="432">
        <f t="shared" si="61"/>
        <v>7802930</v>
      </c>
      <c r="R168" s="305">
        <f t="shared" si="56"/>
        <v>81884012</v>
      </c>
      <c r="S168" s="432">
        <f>S169</f>
        <v>75012562</v>
      </c>
      <c r="T168" s="432">
        <f>T169</f>
        <v>6871450</v>
      </c>
      <c r="U168" s="305">
        <f t="shared" si="57"/>
        <v>81884012</v>
      </c>
      <c r="V168" s="305">
        <f t="shared" si="58"/>
        <v>2286238</v>
      </c>
      <c r="W168" s="305"/>
      <c r="X168" s="305">
        <f t="shared" ref="X168:X231" si="62">R168-U168</f>
        <v>0</v>
      </c>
      <c r="Y168" s="307">
        <f t="shared" si="59"/>
        <v>0.97283793264247165</v>
      </c>
    </row>
    <row r="169" spans="1:25" s="284" customFormat="1" ht="39.75" customHeight="1">
      <c r="A169" s="439">
        <v>7</v>
      </c>
      <c r="B169" s="440" t="s">
        <v>348</v>
      </c>
      <c r="C169" s="440" t="s">
        <v>350</v>
      </c>
      <c r="D169" s="333">
        <v>2</v>
      </c>
      <c r="E169" s="346" t="s">
        <v>357</v>
      </c>
      <c r="F169" s="346" t="s">
        <v>348</v>
      </c>
      <c r="G169" s="333">
        <v>5</v>
      </c>
      <c r="H169" s="333">
        <v>1</v>
      </c>
      <c r="I169" s="346" t="s">
        <v>350</v>
      </c>
      <c r="J169" s="378" t="s">
        <v>357</v>
      </c>
      <c r="K169" s="378" t="s">
        <v>350</v>
      </c>
      <c r="L169" s="363"/>
      <c r="M169" s="376"/>
      <c r="N169" s="365" t="s">
        <v>438</v>
      </c>
      <c r="O169" s="431">
        <f t="shared" si="61"/>
        <v>84170250</v>
      </c>
      <c r="P169" s="432">
        <f t="shared" si="61"/>
        <v>74081082</v>
      </c>
      <c r="Q169" s="432">
        <f t="shared" si="61"/>
        <v>7802930</v>
      </c>
      <c r="R169" s="305">
        <f t="shared" si="56"/>
        <v>81884012</v>
      </c>
      <c r="S169" s="432">
        <f>S170</f>
        <v>75012562</v>
      </c>
      <c r="T169" s="432">
        <f>T170</f>
        <v>6871450</v>
      </c>
      <c r="U169" s="305">
        <f t="shared" si="57"/>
        <v>81884012</v>
      </c>
      <c r="V169" s="305">
        <f t="shared" si="58"/>
        <v>2286238</v>
      </c>
      <c r="W169" s="305"/>
      <c r="X169" s="305">
        <f t="shared" si="62"/>
        <v>0</v>
      </c>
      <c r="Y169" s="307">
        <f t="shared" si="59"/>
        <v>0.97283793264247165</v>
      </c>
    </row>
    <row r="170" spans="1:25" s="284" customFormat="1" ht="39.75" customHeight="1">
      <c r="A170" s="441">
        <v>7</v>
      </c>
      <c r="B170" s="442" t="s">
        <v>348</v>
      </c>
      <c r="C170" s="442" t="s">
        <v>350</v>
      </c>
      <c r="D170" s="349">
        <v>2</v>
      </c>
      <c r="E170" s="348" t="s">
        <v>357</v>
      </c>
      <c r="F170" s="348" t="s">
        <v>348</v>
      </c>
      <c r="G170" s="349">
        <v>5</v>
      </c>
      <c r="H170" s="349">
        <v>1</v>
      </c>
      <c r="I170" s="348" t="s">
        <v>350</v>
      </c>
      <c r="J170" s="361" t="s">
        <v>357</v>
      </c>
      <c r="K170" s="361" t="s">
        <v>350</v>
      </c>
      <c r="L170" s="361" t="s">
        <v>380</v>
      </c>
      <c r="M170" s="376">
        <v>9</v>
      </c>
      <c r="N170" s="367" t="s">
        <v>464</v>
      </c>
      <c r="O170" s="418">
        <f>'[8]SPJ FUNGSIONAL '!O176</f>
        <v>84170250</v>
      </c>
      <c r="P170" s="353">
        <f>'[9]LRA SP2D'!$R$170</f>
        <v>74081082</v>
      </c>
      <c r="Q170" s="353">
        <v>7802930</v>
      </c>
      <c r="R170" s="353">
        <f t="shared" si="56"/>
        <v>81884012</v>
      </c>
      <c r="S170" s="353">
        <f>'[8]SPJ FUNGSIONAL '!V176</f>
        <v>75012562</v>
      </c>
      <c r="T170" s="353">
        <f>'[8]SPJ FUNGSIONAL '!W176</f>
        <v>6871450</v>
      </c>
      <c r="U170" s="353">
        <f t="shared" si="57"/>
        <v>81884012</v>
      </c>
      <c r="V170" s="353">
        <f t="shared" si="58"/>
        <v>2286238</v>
      </c>
      <c r="W170" s="353"/>
      <c r="X170" s="353">
        <f t="shared" si="62"/>
        <v>0</v>
      </c>
      <c r="Y170" s="354">
        <f t="shared" si="59"/>
        <v>0.97283793264247165</v>
      </c>
    </row>
    <row r="171" spans="1:25" s="284" customFormat="1" ht="25" customHeight="1">
      <c r="A171" s="414"/>
      <c r="B171" s="415"/>
      <c r="C171" s="415"/>
      <c r="D171" s="415"/>
      <c r="E171" s="415"/>
      <c r="F171" s="415"/>
      <c r="G171" s="415"/>
      <c r="H171" s="415"/>
      <c r="I171" s="415"/>
      <c r="J171" s="415"/>
      <c r="K171" s="415"/>
      <c r="L171" s="415"/>
      <c r="M171" s="416"/>
      <c r="N171" s="417"/>
      <c r="O171" s="418"/>
      <c r="P171" s="353"/>
      <c r="Q171" s="353"/>
      <c r="R171" s="353">
        <f t="shared" si="56"/>
        <v>0</v>
      </c>
      <c r="S171" s="353"/>
      <c r="T171" s="353"/>
      <c r="U171" s="353">
        <f t="shared" si="57"/>
        <v>0</v>
      </c>
      <c r="V171" s="353">
        <f t="shared" si="58"/>
        <v>0</v>
      </c>
      <c r="W171" s="353">
        <f t="shared" si="53"/>
        <v>0</v>
      </c>
      <c r="X171" s="353">
        <f t="shared" si="62"/>
        <v>0</v>
      </c>
      <c r="Y171" s="354"/>
    </row>
    <row r="172" spans="1:25" s="284" customFormat="1" ht="48.75" customHeight="1">
      <c r="A172" s="426">
        <v>7</v>
      </c>
      <c r="B172" s="427" t="s">
        <v>348</v>
      </c>
      <c r="C172" s="427" t="s">
        <v>350</v>
      </c>
      <c r="D172" s="427" t="s">
        <v>397</v>
      </c>
      <c r="E172" s="428"/>
      <c r="F172" s="428"/>
      <c r="G172" s="428"/>
      <c r="H172" s="428"/>
      <c r="I172" s="428"/>
      <c r="J172" s="428"/>
      <c r="K172" s="428"/>
      <c r="L172" s="428"/>
      <c r="M172" s="443"/>
      <c r="N172" s="328" t="s">
        <v>465</v>
      </c>
      <c r="O172" s="444">
        <f>O174</f>
        <v>2167856200</v>
      </c>
      <c r="P172" s="445">
        <f>P174</f>
        <v>1549463175</v>
      </c>
      <c r="Q172" s="445">
        <f>Q174</f>
        <v>374517505</v>
      </c>
      <c r="R172" s="330">
        <f t="shared" si="56"/>
        <v>1923980680</v>
      </c>
      <c r="S172" s="445">
        <f>S174</f>
        <v>1648428400</v>
      </c>
      <c r="T172" s="445">
        <f>T174</f>
        <v>402643143</v>
      </c>
      <c r="U172" s="330">
        <f t="shared" si="57"/>
        <v>2051071543</v>
      </c>
      <c r="V172" s="330">
        <f t="shared" si="58"/>
        <v>116784657</v>
      </c>
      <c r="W172" s="330"/>
      <c r="X172" s="330">
        <f t="shared" si="62"/>
        <v>-127090863</v>
      </c>
      <c r="Y172" s="331">
        <f t="shared" si="59"/>
        <v>0.94612896510386624</v>
      </c>
    </row>
    <row r="173" spans="1:25" s="284" customFormat="1" ht="25" customHeight="1">
      <c r="A173" s="446"/>
      <c r="B173" s="447"/>
      <c r="C173" s="447"/>
      <c r="D173" s="447"/>
      <c r="E173" s="447"/>
      <c r="F173" s="447"/>
      <c r="G173" s="447"/>
      <c r="H173" s="447"/>
      <c r="I173" s="447"/>
      <c r="J173" s="447"/>
      <c r="K173" s="447"/>
      <c r="L173" s="447"/>
      <c r="M173" s="448"/>
      <c r="N173" s="302"/>
      <c r="O173" s="322"/>
      <c r="P173" s="323"/>
      <c r="Q173" s="323"/>
      <c r="R173" s="305"/>
      <c r="S173" s="323"/>
      <c r="T173" s="323"/>
      <c r="U173" s="305"/>
      <c r="V173" s="305"/>
      <c r="W173" s="305"/>
      <c r="X173" s="305"/>
      <c r="Y173" s="307"/>
    </row>
    <row r="174" spans="1:25" s="284" customFormat="1" ht="78" customHeight="1">
      <c r="A174" s="433">
        <v>7</v>
      </c>
      <c r="B174" s="434" t="s">
        <v>348</v>
      </c>
      <c r="C174" s="434" t="s">
        <v>350</v>
      </c>
      <c r="D174" s="340">
        <v>2</v>
      </c>
      <c r="E174" s="435" t="s">
        <v>382</v>
      </c>
      <c r="F174" s="435" t="s">
        <v>357</v>
      </c>
      <c r="G174" s="437"/>
      <c r="H174" s="437"/>
      <c r="I174" s="437"/>
      <c r="J174" s="437"/>
      <c r="K174" s="437"/>
      <c r="L174" s="437"/>
      <c r="M174" s="438"/>
      <c r="N174" s="449" t="s">
        <v>466</v>
      </c>
      <c r="O174" s="343">
        <f>O175</f>
        <v>2167856200</v>
      </c>
      <c r="P174" s="344">
        <f>P175</f>
        <v>1549463175</v>
      </c>
      <c r="Q174" s="344">
        <f>Q175</f>
        <v>374517505</v>
      </c>
      <c r="R174" s="344">
        <f t="shared" si="56"/>
        <v>1923980680</v>
      </c>
      <c r="S174" s="344">
        <f>S175</f>
        <v>1648428400</v>
      </c>
      <c r="T174" s="344">
        <f>T175</f>
        <v>402643143</v>
      </c>
      <c r="U174" s="344">
        <f t="shared" si="57"/>
        <v>2051071543</v>
      </c>
      <c r="V174" s="344">
        <f t="shared" si="58"/>
        <v>116784657</v>
      </c>
      <c r="W174" s="344"/>
      <c r="X174" s="344">
        <f t="shared" si="62"/>
        <v>-127090863</v>
      </c>
      <c r="Y174" s="371">
        <f t="shared" si="59"/>
        <v>0.94612896510386624</v>
      </c>
    </row>
    <row r="175" spans="1:25" s="284" customFormat="1" ht="39.75" customHeight="1">
      <c r="A175" s="439">
        <v>7</v>
      </c>
      <c r="B175" s="440" t="s">
        <v>348</v>
      </c>
      <c r="C175" s="440" t="s">
        <v>350</v>
      </c>
      <c r="D175" s="333">
        <v>2</v>
      </c>
      <c r="E175" s="346" t="s">
        <v>382</v>
      </c>
      <c r="F175" s="346" t="s">
        <v>357</v>
      </c>
      <c r="G175" s="333">
        <v>5</v>
      </c>
      <c r="H175" s="333">
        <v>1</v>
      </c>
      <c r="I175" s="346" t="s">
        <v>350</v>
      </c>
      <c r="J175" s="379"/>
      <c r="K175" s="363"/>
      <c r="L175" s="363"/>
      <c r="M175" s="376"/>
      <c r="N175" s="374" t="s">
        <v>377</v>
      </c>
      <c r="O175" s="366">
        <f>O176+O190+O199+O203</f>
        <v>2167856200</v>
      </c>
      <c r="P175" s="305">
        <f>P176+P190+P199+P203</f>
        <v>1549463175</v>
      </c>
      <c r="Q175" s="305">
        <f>Q176+Q190+Q199+Q203</f>
        <v>374517505</v>
      </c>
      <c r="R175" s="305">
        <f t="shared" si="56"/>
        <v>1923980680</v>
      </c>
      <c r="S175" s="305">
        <f>S176+S190+S199+S203</f>
        <v>1648428400</v>
      </c>
      <c r="T175" s="305">
        <f>T176+T190+T199+T203</f>
        <v>402643143</v>
      </c>
      <c r="U175" s="305">
        <f t="shared" si="57"/>
        <v>2051071543</v>
      </c>
      <c r="V175" s="305">
        <f t="shared" si="58"/>
        <v>116784657</v>
      </c>
      <c r="W175" s="305"/>
      <c r="X175" s="305">
        <f t="shared" si="62"/>
        <v>-127090863</v>
      </c>
      <c r="Y175" s="307">
        <f t="shared" si="59"/>
        <v>0.94612896510386624</v>
      </c>
    </row>
    <row r="176" spans="1:25" s="284" customFormat="1" ht="39.75" customHeight="1">
      <c r="A176" s="439">
        <v>7</v>
      </c>
      <c r="B176" s="440" t="s">
        <v>348</v>
      </c>
      <c r="C176" s="440" t="s">
        <v>350</v>
      </c>
      <c r="D176" s="333">
        <v>2</v>
      </c>
      <c r="E176" s="346" t="s">
        <v>382</v>
      </c>
      <c r="F176" s="346" t="s">
        <v>357</v>
      </c>
      <c r="G176" s="333">
        <v>5</v>
      </c>
      <c r="H176" s="333">
        <v>1</v>
      </c>
      <c r="I176" s="346" t="s">
        <v>350</v>
      </c>
      <c r="J176" s="378" t="s">
        <v>348</v>
      </c>
      <c r="K176" s="363"/>
      <c r="L176" s="363"/>
      <c r="M176" s="376"/>
      <c r="N176" s="374" t="s">
        <v>398</v>
      </c>
      <c r="O176" s="366">
        <f>O177</f>
        <v>512753450</v>
      </c>
      <c r="P176" s="305">
        <f>P177</f>
        <v>285015925</v>
      </c>
      <c r="Q176" s="305">
        <f>Q177</f>
        <v>144267505</v>
      </c>
      <c r="R176" s="305">
        <f t="shared" si="56"/>
        <v>429283430</v>
      </c>
      <c r="S176" s="305">
        <f>S177</f>
        <v>358581150</v>
      </c>
      <c r="T176" s="305">
        <f>T177</f>
        <v>85768143</v>
      </c>
      <c r="U176" s="305">
        <f t="shared" si="57"/>
        <v>444349293</v>
      </c>
      <c r="V176" s="305">
        <f t="shared" si="58"/>
        <v>68404157</v>
      </c>
      <c r="W176" s="305"/>
      <c r="X176" s="305">
        <f t="shared" si="62"/>
        <v>-15065863</v>
      </c>
      <c r="Y176" s="307">
        <f t="shared" si="59"/>
        <v>0.86659444807246055</v>
      </c>
    </row>
    <row r="177" spans="1:25" s="284" customFormat="1" ht="39.75" customHeight="1">
      <c r="A177" s="439">
        <v>7</v>
      </c>
      <c r="B177" s="440" t="s">
        <v>348</v>
      </c>
      <c r="C177" s="440" t="s">
        <v>350</v>
      </c>
      <c r="D177" s="333">
        <v>2</v>
      </c>
      <c r="E177" s="346" t="s">
        <v>382</v>
      </c>
      <c r="F177" s="346" t="s">
        <v>357</v>
      </c>
      <c r="G177" s="333">
        <v>5</v>
      </c>
      <c r="H177" s="333">
        <v>1</v>
      </c>
      <c r="I177" s="346" t="s">
        <v>350</v>
      </c>
      <c r="J177" s="378" t="s">
        <v>348</v>
      </c>
      <c r="K177" s="378" t="s">
        <v>348</v>
      </c>
      <c r="L177" s="363"/>
      <c r="M177" s="376"/>
      <c r="N177" s="374" t="s">
        <v>379</v>
      </c>
      <c r="O177" s="366">
        <f>SUM(O178:O189)</f>
        <v>512753450</v>
      </c>
      <c r="P177" s="366">
        <f t="shared" ref="P177:Q177" si="63">SUM(P178:P189)</f>
        <v>285015925</v>
      </c>
      <c r="Q177" s="366">
        <f t="shared" si="63"/>
        <v>144267505</v>
      </c>
      <c r="R177" s="305">
        <f t="shared" si="56"/>
        <v>429283430</v>
      </c>
      <c r="S177" s="366">
        <f>SUM(S178:S189)</f>
        <v>358581150</v>
      </c>
      <c r="T177" s="366">
        <f t="shared" ref="T177" si="64">SUM(T178:T189)</f>
        <v>85768143</v>
      </c>
      <c r="U177" s="305">
        <f>S177+T177</f>
        <v>444349293</v>
      </c>
      <c r="V177" s="305">
        <f t="shared" si="58"/>
        <v>68404157</v>
      </c>
      <c r="W177" s="305"/>
      <c r="X177" s="305">
        <f t="shared" si="62"/>
        <v>-15065863</v>
      </c>
      <c r="Y177" s="307">
        <f t="shared" si="59"/>
        <v>0.86659444807246055</v>
      </c>
    </row>
    <row r="178" spans="1:25" s="284" customFormat="1" ht="39.75" customHeight="1">
      <c r="A178" s="450">
        <v>7</v>
      </c>
      <c r="B178" s="451" t="s">
        <v>348</v>
      </c>
      <c r="C178" s="451" t="s">
        <v>350</v>
      </c>
      <c r="D178" s="407">
        <v>2</v>
      </c>
      <c r="E178" s="408" t="s">
        <v>382</v>
      </c>
      <c r="F178" s="408" t="s">
        <v>357</v>
      </c>
      <c r="G178" s="407">
        <v>5</v>
      </c>
      <c r="H178" s="407">
        <v>1</v>
      </c>
      <c r="I178" s="408" t="s">
        <v>350</v>
      </c>
      <c r="J178" s="406" t="s">
        <v>348</v>
      </c>
      <c r="K178" s="406" t="s">
        <v>348</v>
      </c>
      <c r="L178" s="406" t="s">
        <v>442</v>
      </c>
      <c r="M178" s="403">
        <v>2</v>
      </c>
      <c r="N178" s="409" t="s">
        <v>467</v>
      </c>
      <c r="O178" s="352">
        <f>'[8]SPJ FUNGSIONAL '!O184</f>
        <v>8000000</v>
      </c>
      <c r="P178" s="353">
        <f>'[9]LRA SP2D'!$R$178</f>
        <v>1918000</v>
      </c>
      <c r="Q178" s="353">
        <v>786000</v>
      </c>
      <c r="R178" s="353">
        <f>SUM(P178:Q178)</f>
        <v>2704000</v>
      </c>
      <c r="S178" s="353">
        <f>'[8]SPJ FUNGSIONAL '!V184</f>
        <v>2704000</v>
      </c>
      <c r="T178" s="353">
        <f>'[8]SPJ FUNGSIONAL '!W184</f>
        <v>0</v>
      </c>
      <c r="U178" s="353">
        <f>SUM(S178:T178)</f>
        <v>2704000</v>
      </c>
      <c r="V178" s="353">
        <f t="shared" si="58"/>
        <v>5296000</v>
      </c>
      <c r="W178" s="353"/>
      <c r="X178" s="353">
        <f t="shared" si="62"/>
        <v>0</v>
      </c>
      <c r="Y178" s="354">
        <f t="shared" si="59"/>
        <v>0.33800000000000002</v>
      </c>
    </row>
    <row r="179" spans="1:25" s="284" customFormat="1" ht="39.75" customHeight="1">
      <c r="A179" s="441">
        <v>7</v>
      </c>
      <c r="B179" s="442" t="s">
        <v>348</v>
      </c>
      <c r="C179" s="442" t="s">
        <v>350</v>
      </c>
      <c r="D179" s="349">
        <v>2</v>
      </c>
      <c r="E179" s="348" t="s">
        <v>382</v>
      </c>
      <c r="F179" s="348" t="s">
        <v>357</v>
      </c>
      <c r="G179" s="349">
        <v>5</v>
      </c>
      <c r="H179" s="349">
        <v>1</v>
      </c>
      <c r="I179" s="348" t="s">
        <v>350</v>
      </c>
      <c r="J179" s="361" t="s">
        <v>348</v>
      </c>
      <c r="K179" s="361" t="s">
        <v>348</v>
      </c>
      <c r="L179" s="361" t="s">
        <v>384</v>
      </c>
      <c r="M179" s="376">
        <v>4</v>
      </c>
      <c r="N179" s="351" t="s">
        <v>385</v>
      </c>
      <c r="O179" s="352">
        <f>'[8]SPJ FUNGSIONAL '!O185</f>
        <v>7581250</v>
      </c>
      <c r="P179" s="353">
        <f>'[9]LRA SP2D'!$R$179</f>
        <v>2456600</v>
      </c>
      <c r="Q179" s="353">
        <v>3341330</v>
      </c>
      <c r="R179" s="353">
        <f t="shared" si="56"/>
        <v>5797930</v>
      </c>
      <c r="S179" s="353">
        <f>'[8]SPJ FUNGSIONAL '!V185</f>
        <v>3686800</v>
      </c>
      <c r="T179" s="353">
        <f>'[8]SPJ FUNGSIONAL '!W185</f>
        <v>2627830</v>
      </c>
      <c r="U179" s="353">
        <f t="shared" si="57"/>
        <v>6314630</v>
      </c>
      <c r="V179" s="353">
        <f t="shared" si="58"/>
        <v>1266620</v>
      </c>
      <c r="W179" s="353"/>
      <c r="X179" s="353">
        <f t="shared" si="62"/>
        <v>-516700</v>
      </c>
      <c r="Y179" s="354">
        <f t="shared" si="59"/>
        <v>0.83292728771640556</v>
      </c>
    </row>
    <row r="180" spans="1:25" s="284" customFormat="1" ht="39.75" customHeight="1">
      <c r="A180" s="441">
        <v>7</v>
      </c>
      <c r="B180" s="442" t="s">
        <v>348</v>
      </c>
      <c r="C180" s="442" t="s">
        <v>350</v>
      </c>
      <c r="D180" s="349">
        <v>2</v>
      </c>
      <c r="E180" s="348" t="s">
        <v>382</v>
      </c>
      <c r="F180" s="348" t="s">
        <v>357</v>
      </c>
      <c r="G180" s="349">
        <v>5</v>
      </c>
      <c r="H180" s="349">
        <v>1</v>
      </c>
      <c r="I180" s="348" t="s">
        <v>350</v>
      </c>
      <c r="J180" s="361" t="s">
        <v>348</v>
      </c>
      <c r="K180" s="361" t="s">
        <v>348</v>
      </c>
      <c r="L180" s="361" t="s">
        <v>384</v>
      </c>
      <c r="M180" s="376">
        <v>5</v>
      </c>
      <c r="N180" s="367" t="s">
        <v>386</v>
      </c>
      <c r="O180" s="352">
        <f>'[8]SPJ FUNGSIONAL '!O186</f>
        <v>6881000</v>
      </c>
      <c r="P180" s="353">
        <f>'[9]LRA SP2D'!$R$180</f>
        <v>1402800</v>
      </c>
      <c r="Q180" s="353">
        <v>1872400</v>
      </c>
      <c r="R180" s="353">
        <f t="shared" si="56"/>
        <v>3275200</v>
      </c>
      <c r="S180" s="353">
        <f>'[8]SPJ FUNGSIONAL '!V186</f>
        <v>1513800</v>
      </c>
      <c r="T180" s="353">
        <f>'[8]SPJ FUNGSIONAL '!W186</f>
        <v>2978400</v>
      </c>
      <c r="U180" s="353">
        <f t="shared" si="57"/>
        <v>4492200</v>
      </c>
      <c r="V180" s="353">
        <f t="shared" si="58"/>
        <v>2388800</v>
      </c>
      <c r="W180" s="353"/>
      <c r="X180" s="353">
        <f t="shared" si="62"/>
        <v>-1217000</v>
      </c>
      <c r="Y180" s="354">
        <f t="shared" si="59"/>
        <v>0.65284115680860344</v>
      </c>
    </row>
    <row r="181" spans="1:25" s="284" customFormat="1" ht="39.75" customHeight="1">
      <c r="A181" s="441">
        <v>7</v>
      </c>
      <c r="B181" s="442" t="s">
        <v>348</v>
      </c>
      <c r="C181" s="442" t="s">
        <v>350</v>
      </c>
      <c r="D181" s="349">
        <v>2</v>
      </c>
      <c r="E181" s="348" t="s">
        <v>382</v>
      </c>
      <c r="F181" s="348" t="s">
        <v>357</v>
      </c>
      <c r="G181" s="349">
        <v>5</v>
      </c>
      <c r="H181" s="349">
        <v>1</v>
      </c>
      <c r="I181" s="348" t="s">
        <v>350</v>
      </c>
      <c r="J181" s="361" t="s">
        <v>348</v>
      </c>
      <c r="K181" s="361" t="s">
        <v>348</v>
      </c>
      <c r="L181" s="361" t="s">
        <v>384</v>
      </c>
      <c r="M181" s="376">
        <v>6</v>
      </c>
      <c r="N181" s="351" t="s">
        <v>387</v>
      </c>
      <c r="O181" s="352">
        <f>'[8]SPJ FUNGSIONAL '!O187</f>
        <v>57656200</v>
      </c>
      <c r="P181" s="353">
        <f>'[9]LRA SP2D'!$R$181</f>
        <v>5202250</v>
      </c>
      <c r="Q181" s="353">
        <v>42356900</v>
      </c>
      <c r="R181" s="353">
        <f t="shared" si="56"/>
        <v>47559150</v>
      </c>
      <c r="S181" s="353">
        <f>'[8]SPJ FUNGSIONAL '!V187</f>
        <v>43031650</v>
      </c>
      <c r="T181" s="353">
        <f>'[8]SPJ FUNGSIONAL '!W187</f>
        <v>6724250</v>
      </c>
      <c r="U181" s="353">
        <f t="shared" si="57"/>
        <v>49755900</v>
      </c>
      <c r="V181" s="353">
        <f t="shared" si="58"/>
        <v>7900300</v>
      </c>
      <c r="W181" s="353"/>
      <c r="X181" s="353">
        <f t="shared" si="62"/>
        <v>-2196750</v>
      </c>
      <c r="Y181" s="354">
        <f t="shared" si="59"/>
        <v>0.86297570772961107</v>
      </c>
    </row>
    <row r="182" spans="1:25" s="284" customFormat="1" ht="39.75" customHeight="1">
      <c r="A182" s="441">
        <v>7</v>
      </c>
      <c r="B182" s="442" t="s">
        <v>348</v>
      </c>
      <c r="C182" s="442" t="s">
        <v>350</v>
      </c>
      <c r="D182" s="349">
        <v>2</v>
      </c>
      <c r="E182" s="348" t="s">
        <v>382</v>
      </c>
      <c r="F182" s="348" t="s">
        <v>357</v>
      </c>
      <c r="G182" s="349">
        <v>5</v>
      </c>
      <c r="H182" s="349">
        <v>1</v>
      </c>
      <c r="I182" s="348" t="s">
        <v>350</v>
      </c>
      <c r="J182" s="361" t="s">
        <v>348</v>
      </c>
      <c r="K182" s="361" t="s">
        <v>348</v>
      </c>
      <c r="L182" s="361" t="s">
        <v>384</v>
      </c>
      <c r="M182" s="376">
        <v>9</v>
      </c>
      <c r="N182" s="367" t="s">
        <v>388</v>
      </c>
      <c r="O182" s="352">
        <f>'[8]SPJ FUNGSIONAL '!O188</f>
        <v>1550000</v>
      </c>
      <c r="P182" s="353">
        <f>'[9]LRA SP2D'!$R$182</f>
        <v>800000</v>
      </c>
      <c r="Q182" s="353">
        <f>T182</f>
        <v>200000</v>
      </c>
      <c r="R182" s="353">
        <f t="shared" si="56"/>
        <v>1000000</v>
      </c>
      <c r="S182" s="353">
        <f>'[8]SPJ FUNGSIONAL '!V188</f>
        <v>800000</v>
      </c>
      <c r="T182" s="353">
        <f>'[8]SPJ FUNGSIONAL '!W188</f>
        <v>200000</v>
      </c>
      <c r="U182" s="353">
        <f t="shared" si="57"/>
        <v>1000000</v>
      </c>
      <c r="V182" s="353">
        <f t="shared" si="58"/>
        <v>550000</v>
      </c>
      <c r="W182" s="353">
        <f t="shared" si="53"/>
        <v>0</v>
      </c>
      <c r="X182" s="353">
        <f t="shared" si="62"/>
        <v>0</v>
      </c>
      <c r="Y182" s="354">
        <f t="shared" si="59"/>
        <v>0.64516129032258063</v>
      </c>
    </row>
    <row r="183" spans="1:25" s="284" customFormat="1" ht="39.75" customHeight="1">
      <c r="A183" s="441">
        <v>7</v>
      </c>
      <c r="B183" s="442" t="s">
        <v>348</v>
      </c>
      <c r="C183" s="442" t="s">
        <v>350</v>
      </c>
      <c r="D183" s="349">
        <v>2</v>
      </c>
      <c r="E183" s="348" t="s">
        <v>382</v>
      </c>
      <c r="F183" s="348" t="s">
        <v>357</v>
      </c>
      <c r="G183" s="349">
        <v>5</v>
      </c>
      <c r="H183" s="349">
        <v>1</v>
      </c>
      <c r="I183" s="348" t="s">
        <v>350</v>
      </c>
      <c r="J183" s="361" t="s">
        <v>348</v>
      </c>
      <c r="K183" s="361" t="s">
        <v>348</v>
      </c>
      <c r="L183" s="361" t="s">
        <v>380</v>
      </c>
      <c r="M183" s="376">
        <v>0</v>
      </c>
      <c r="N183" s="367" t="s">
        <v>468</v>
      </c>
      <c r="O183" s="352">
        <f>'[8]SPJ FUNGSIONAL '!O189</f>
        <v>1600000</v>
      </c>
      <c r="P183" s="353">
        <f>'[9]LRA SP2D'!$R$183</f>
        <v>400000</v>
      </c>
      <c r="Q183" s="353">
        <f>T183</f>
        <v>0</v>
      </c>
      <c r="R183" s="353">
        <f t="shared" si="56"/>
        <v>400000</v>
      </c>
      <c r="S183" s="353">
        <f>'[8]SPJ FUNGSIONAL '!V189</f>
        <v>400000</v>
      </c>
      <c r="T183" s="353">
        <f>'[8]SPJ FUNGSIONAL '!W189</f>
        <v>0</v>
      </c>
      <c r="U183" s="353">
        <f t="shared" si="57"/>
        <v>400000</v>
      </c>
      <c r="V183" s="353">
        <f t="shared" si="58"/>
        <v>1200000</v>
      </c>
      <c r="W183" s="353"/>
      <c r="X183" s="353">
        <f t="shared" si="62"/>
        <v>0</v>
      </c>
      <c r="Y183" s="354">
        <f t="shared" si="59"/>
        <v>0.25</v>
      </c>
    </row>
    <row r="184" spans="1:25" s="284" customFormat="1" ht="39.75" customHeight="1">
      <c r="A184" s="441">
        <v>7</v>
      </c>
      <c r="B184" s="442" t="s">
        <v>348</v>
      </c>
      <c r="C184" s="442" t="s">
        <v>350</v>
      </c>
      <c r="D184" s="349">
        <v>2</v>
      </c>
      <c r="E184" s="348" t="s">
        <v>382</v>
      </c>
      <c r="F184" s="348" t="s">
        <v>357</v>
      </c>
      <c r="G184" s="349">
        <v>5</v>
      </c>
      <c r="H184" s="349">
        <v>1</v>
      </c>
      <c r="I184" s="348" t="s">
        <v>350</v>
      </c>
      <c r="J184" s="361" t="s">
        <v>348</v>
      </c>
      <c r="K184" s="361" t="s">
        <v>348</v>
      </c>
      <c r="L184" s="361" t="s">
        <v>380</v>
      </c>
      <c r="M184" s="376">
        <v>5</v>
      </c>
      <c r="N184" s="412" t="s">
        <v>469</v>
      </c>
      <c r="O184" s="352">
        <f>'[8]SPJ FUNGSIONAL '!O190</f>
        <v>10000000</v>
      </c>
      <c r="P184" s="353">
        <f>'[9]LRA SP2D'!$R$184</f>
        <v>7757000</v>
      </c>
      <c r="Q184" s="353">
        <f>T184</f>
        <v>0</v>
      </c>
      <c r="R184" s="353">
        <f t="shared" si="56"/>
        <v>7757000</v>
      </c>
      <c r="S184" s="353">
        <f>'[8]SPJ FUNGSIONAL '!V190</f>
        <v>7757000</v>
      </c>
      <c r="T184" s="353">
        <f>'[8]SPJ FUNGSIONAL '!W190</f>
        <v>0</v>
      </c>
      <c r="U184" s="353">
        <f t="shared" si="57"/>
        <v>7757000</v>
      </c>
      <c r="V184" s="353">
        <f t="shared" si="58"/>
        <v>2243000</v>
      </c>
      <c r="W184" s="353">
        <f t="shared" si="53"/>
        <v>0</v>
      </c>
      <c r="X184" s="353">
        <f t="shared" si="62"/>
        <v>0</v>
      </c>
      <c r="Y184" s="354">
        <f t="shared" si="59"/>
        <v>0.77569999999999995</v>
      </c>
    </row>
    <row r="185" spans="1:25" s="284" customFormat="1" ht="39.75" customHeight="1">
      <c r="A185" s="441">
        <v>7</v>
      </c>
      <c r="B185" s="442" t="s">
        <v>348</v>
      </c>
      <c r="C185" s="442" t="s">
        <v>350</v>
      </c>
      <c r="D185" s="349">
        <v>2</v>
      </c>
      <c r="E185" s="348" t="s">
        <v>382</v>
      </c>
      <c r="F185" s="348" t="s">
        <v>357</v>
      </c>
      <c r="G185" s="349">
        <v>5</v>
      </c>
      <c r="H185" s="349">
        <v>1</v>
      </c>
      <c r="I185" s="348" t="s">
        <v>350</v>
      </c>
      <c r="J185" s="361" t="s">
        <v>348</v>
      </c>
      <c r="K185" s="361" t="s">
        <v>348</v>
      </c>
      <c r="L185" s="361" t="s">
        <v>393</v>
      </c>
      <c r="M185" s="376">
        <v>2</v>
      </c>
      <c r="N185" s="351" t="s">
        <v>399</v>
      </c>
      <c r="O185" s="352">
        <f>'[8]SPJ FUNGSIONAL '!O191</f>
        <v>119470000</v>
      </c>
      <c r="P185" s="353">
        <f>'[9]LRA SP2D'!$R$185</f>
        <v>55433700</v>
      </c>
      <c r="Q185" s="353">
        <v>32659200</v>
      </c>
      <c r="R185" s="353">
        <f t="shared" si="56"/>
        <v>88092900</v>
      </c>
      <c r="S185" s="353">
        <f>'[8]SPJ FUNGSIONAL '!V191</f>
        <v>65358300</v>
      </c>
      <c r="T185" s="353">
        <f>'[8]SPJ FUNGSIONAL '!W191</f>
        <v>27271388</v>
      </c>
      <c r="U185" s="353">
        <f t="shared" si="57"/>
        <v>92629688</v>
      </c>
      <c r="V185" s="353">
        <f t="shared" si="58"/>
        <v>26840312</v>
      </c>
      <c r="W185" s="353"/>
      <c r="X185" s="353">
        <f t="shared" si="62"/>
        <v>-4536788</v>
      </c>
      <c r="Y185" s="354">
        <f t="shared" si="59"/>
        <v>0.77533847827906588</v>
      </c>
    </row>
    <row r="186" spans="1:25" s="284" customFormat="1" ht="39.75" customHeight="1">
      <c r="A186" s="441">
        <v>7</v>
      </c>
      <c r="B186" s="442" t="s">
        <v>348</v>
      </c>
      <c r="C186" s="442" t="s">
        <v>350</v>
      </c>
      <c r="D186" s="349">
        <v>2</v>
      </c>
      <c r="E186" s="348" t="s">
        <v>382</v>
      </c>
      <c r="F186" s="348" t="s">
        <v>357</v>
      </c>
      <c r="G186" s="349">
        <v>5</v>
      </c>
      <c r="H186" s="349">
        <v>1</v>
      </c>
      <c r="I186" s="348" t="s">
        <v>350</v>
      </c>
      <c r="J186" s="361" t="s">
        <v>348</v>
      </c>
      <c r="K186" s="361" t="s">
        <v>348</v>
      </c>
      <c r="L186" s="361" t="s">
        <v>393</v>
      </c>
      <c r="M186" s="376">
        <v>6</v>
      </c>
      <c r="N186" s="367" t="s">
        <v>470</v>
      </c>
      <c r="O186" s="352">
        <f>'[8]SPJ FUNGSIONAL '!O192</f>
        <v>207660000</v>
      </c>
      <c r="P186" s="353">
        <f>'[9]LRA SP2D'!$R$186</f>
        <v>152859225</v>
      </c>
      <c r="Q186" s="353">
        <f>32419025</f>
        <v>32419025</v>
      </c>
      <c r="R186" s="353">
        <f t="shared" si="56"/>
        <v>185278250</v>
      </c>
      <c r="S186" s="353">
        <f>'[8]SPJ FUNGSIONAL '!V192</f>
        <v>159343250</v>
      </c>
      <c r="T186" s="373">
        <f>'[8]SPJ FUNGSIONAL '!W192</f>
        <v>32533625</v>
      </c>
      <c r="U186" s="353">
        <f t="shared" si="57"/>
        <v>191876875</v>
      </c>
      <c r="V186" s="353">
        <f t="shared" si="58"/>
        <v>15783125</v>
      </c>
      <c r="W186" s="353"/>
      <c r="X186" s="353">
        <f t="shared" si="62"/>
        <v>-6598625</v>
      </c>
      <c r="Y186" s="354">
        <f t="shared" si="59"/>
        <v>0.92399535298083402</v>
      </c>
    </row>
    <row r="187" spans="1:25" s="284" customFormat="1" ht="39.75" customHeight="1">
      <c r="A187" s="441">
        <v>7</v>
      </c>
      <c r="B187" s="442" t="s">
        <v>348</v>
      </c>
      <c r="C187" s="442" t="s">
        <v>350</v>
      </c>
      <c r="D187" s="349">
        <v>2</v>
      </c>
      <c r="E187" s="348" t="s">
        <v>382</v>
      </c>
      <c r="F187" s="348" t="s">
        <v>357</v>
      </c>
      <c r="G187" s="349">
        <v>5</v>
      </c>
      <c r="H187" s="349">
        <v>1</v>
      </c>
      <c r="I187" s="348" t="s">
        <v>350</v>
      </c>
      <c r="J187" s="361" t="s">
        <v>348</v>
      </c>
      <c r="K187" s="361" t="s">
        <v>348</v>
      </c>
      <c r="L187" s="361" t="s">
        <v>393</v>
      </c>
      <c r="M187" s="376">
        <v>8</v>
      </c>
      <c r="N187" s="351" t="s">
        <v>471</v>
      </c>
      <c r="O187" s="352">
        <f>'[8]SPJ FUNGSIONAL '!O193</f>
        <v>51805000</v>
      </c>
      <c r="P187" s="353">
        <f t="shared" ref="P187" si="65">S187</f>
        <v>45036350</v>
      </c>
      <c r="Q187" s="353">
        <v>2486400</v>
      </c>
      <c r="R187" s="353">
        <f t="shared" si="56"/>
        <v>47522750</v>
      </c>
      <c r="S187" s="353">
        <f>'[8]SPJ FUNGSIONAL '!V193</f>
        <v>45036350</v>
      </c>
      <c r="T187" s="353">
        <f>'[8]SPJ FUNGSIONAL '!W193</f>
        <v>2486400</v>
      </c>
      <c r="U187" s="353">
        <f t="shared" si="57"/>
        <v>47522750</v>
      </c>
      <c r="V187" s="353">
        <f t="shared" si="58"/>
        <v>4282250</v>
      </c>
      <c r="W187" s="353"/>
      <c r="X187" s="353">
        <f t="shared" si="62"/>
        <v>0</v>
      </c>
      <c r="Y187" s="354">
        <f t="shared" si="59"/>
        <v>0.91733905993629961</v>
      </c>
    </row>
    <row r="188" spans="1:25" s="284" customFormat="1" ht="39.75" customHeight="1">
      <c r="A188" s="450">
        <v>7</v>
      </c>
      <c r="B188" s="451" t="s">
        <v>348</v>
      </c>
      <c r="C188" s="451" t="s">
        <v>350</v>
      </c>
      <c r="D188" s="407">
        <v>2</v>
      </c>
      <c r="E188" s="408" t="s">
        <v>382</v>
      </c>
      <c r="F188" s="408" t="s">
        <v>357</v>
      </c>
      <c r="G188" s="407">
        <v>5</v>
      </c>
      <c r="H188" s="407">
        <v>1</v>
      </c>
      <c r="I188" s="408" t="s">
        <v>350</v>
      </c>
      <c r="J188" s="406" t="s">
        <v>348</v>
      </c>
      <c r="K188" s="406" t="s">
        <v>348</v>
      </c>
      <c r="L188" s="406" t="s">
        <v>472</v>
      </c>
      <c r="M188" s="403">
        <v>5</v>
      </c>
      <c r="N188" s="409" t="s">
        <v>473</v>
      </c>
      <c r="O188" s="352">
        <f>'[8]SPJ FUNGSIONAL '!O194</f>
        <v>36350000</v>
      </c>
      <c r="P188" s="353">
        <f>'[9]LRA SP2D'!$R$188</f>
        <v>11750000</v>
      </c>
      <c r="Q188" s="353">
        <v>23946250</v>
      </c>
      <c r="R188" s="353">
        <f t="shared" si="56"/>
        <v>35696250</v>
      </c>
      <c r="S188" s="353">
        <f>'[9]LRA SP2D'!$U$188</f>
        <v>24750000</v>
      </c>
      <c r="T188" s="353">
        <f>'[8]SPJ FUNGSIONAL '!W194</f>
        <v>10946250</v>
      </c>
      <c r="U188" s="353">
        <f t="shared" si="57"/>
        <v>35696250</v>
      </c>
      <c r="V188" s="353">
        <f t="shared" si="58"/>
        <v>653750</v>
      </c>
      <c r="W188" s="353"/>
      <c r="X188" s="353">
        <f t="shared" si="62"/>
        <v>0</v>
      </c>
      <c r="Y188" s="354">
        <f t="shared" si="59"/>
        <v>0.9820151306740027</v>
      </c>
    </row>
    <row r="189" spans="1:25" s="284" customFormat="1" ht="39.75" customHeight="1">
      <c r="A189" s="450">
        <v>7</v>
      </c>
      <c r="B189" s="451" t="s">
        <v>348</v>
      </c>
      <c r="C189" s="451" t="s">
        <v>350</v>
      </c>
      <c r="D189" s="407">
        <v>2</v>
      </c>
      <c r="E189" s="408" t="s">
        <v>382</v>
      </c>
      <c r="F189" s="408" t="s">
        <v>357</v>
      </c>
      <c r="G189" s="407">
        <v>5</v>
      </c>
      <c r="H189" s="407">
        <v>1</v>
      </c>
      <c r="I189" s="408" t="s">
        <v>350</v>
      </c>
      <c r="J189" s="406" t="s">
        <v>348</v>
      </c>
      <c r="K189" s="406" t="s">
        <v>348</v>
      </c>
      <c r="L189" s="406" t="s">
        <v>472</v>
      </c>
      <c r="M189" s="403">
        <v>6</v>
      </c>
      <c r="N189" s="409" t="s">
        <v>474</v>
      </c>
      <c r="O189" s="352">
        <v>4200000</v>
      </c>
      <c r="P189" s="353"/>
      <c r="Q189" s="353">
        <v>4200000</v>
      </c>
      <c r="R189" s="353">
        <f t="shared" si="56"/>
        <v>4200000</v>
      </c>
      <c r="S189" s="353">
        <f>'[9]LRA SP2D'!$U$189</f>
        <v>4200000</v>
      </c>
      <c r="T189" s="353">
        <f>'[8]SPJ FUNGSIONAL '!W195</f>
        <v>0</v>
      </c>
      <c r="U189" s="353">
        <f t="shared" si="57"/>
        <v>4200000</v>
      </c>
      <c r="V189" s="353">
        <f t="shared" si="58"/>
        <v>0</v>
      </c>
      <c r="W189" s="353"/>
      <c r="X189" s="353">
        <f t="shared" si="62"/>
        <v>0</v>
      </c>
      <c r="Y189" s="354">
        <f t="shared" si="59"/>
        <v>1</v>
      </c>
    </row>
    <row r="190" spans="1:25" s="284" customFormat="1" ht="39.75" customHeight="1">
      <c r="A190" s="439">
        <v>7</v>
      </c>
      <c r="B190" s="440" t="s">
        <v>348</v>
      </c>
      <c r="C190" s="440" t="s">
        <v>350</v>
      </c>
      <c r="D190" s="333">
        <v>2</v>
      </c>
      <c r="E190" s="346" t="s">
        <v>382</v>
      </c>
      <c r="F190" s="346" t="s">
        <v>357</v>
      </c>
      <c r="G190" s="333">
        <v>5</v>
      </c>
      <c r="H190" s="333">
        <v>1</v>
      </c>
      <c r="I190" s="346" t="s">
        <v>350</v>
      </c>
      <c r="J190" s="378" t="s">
        <v>350</v>
      </c>
      <c r="K190" s="363"/>
      <c r="L190" s="363"/>
      <c r="M190" s="376"/>
      <c r="N190" s="374" t="s">
        <v>391</v>
      </c>
      <c r="O190" s="366">
        <f>O191</f>
        <v>1519800000</v>
      </c>
      <c r="P190" s="305">
        <f>P191</f>
        <v>1189650000</v>
      </c>
      <c r="Q190" s="305">
        <f>Q191</f>
        <v>197250000</v>
      </c>
      <c r="R190" s="305">
        <f t="shared" si="56"/>
        <v>1386900000</v>
      </c>
      <c r="S190" s="305">
        <f>S191</f>
        <v>1210400000</v>
      </c>
      <c r="T190" s="305">
        <f>T191</f>
        <v>284500000</v>
      </c>
      <c r="U190" s="305">
        <f t="shared" si="57"/>
        <v>1494900000</v>
      </c>
      <c r="V190" s="305">
        <f t="shared" si="58"/>
        <v>24900000</v>
      </c>
      <c r="W190" s="305"/>
      <c r="X190" s="305">
        <f t="shared" si="62"/>
        <v>-108000000</v>
      </c>
      <c r="Y190" s="307">
        <f t="shared" si="59"/>
        <v>0.98361626529806556</v>
      </c>
    </row>
    <row r="191" spans="1:25" s="284" customFormat="1" ht="39.75" customHeight="1">
      <c r="A191" s="439">
        <v>7</v>
      </c>
      <c r="B191" s="440" t="s">
        <v>348</v>
      </c>
      <c r="C191" s="440" t="s">
        <v>350</v>
      </c>
      <c r="D191" s="333">
        <v>2</v>
      </c>
      <c r="E191" s="346" t="s">
        <v>382</v>
      </c>
      <c r="F191" s="346" t="s">
        <v>357</v>
      </c>
      <c r="G191" s="333">
        <v>5</v>
      </c>
      <c r="H191" s="333">
        <v>1</v>
      </c>
      <c r="I191" s="346" t="s">
        <v>350</v>
      </c>
      <c r="J191" s="378" t="s">
        <v>350</v>
      </c>
      <c r="K191" s="378" t="s">
        <v>348</v>
      </c>
      <c r="L191" s="363"/>
      <c r="M191" s="376"/>
      <c r="N191" s="374" t="s">
        <v>459</v>
      </c>
      <c r="O191" s="366">
        <f>SUM(O192:O198)</f>
        <v>1519800000</v>
      </c>
      <c r="P191" s="305">
        <f>SUM(P192:P198)</f>
        <v>1189650000</v>
      </c>
      <c r="Q191" s="305">
        <f>SUM(Q192:Q198)</f>
        <v>197250000</v>
      </c>
      <c r="R191" s="305">
        <f t="shared" si="56"/>
        <v>1386900000</v>
      </c>
      <c r="S191" s="305">
        <f>SUM(S192:S198)</f>
        <v>1210400000</v>
      </c>
      <c r="T191" s="305">
        <f>SUM(T192:T198)</f>
        <v>284500000</v>
      </c>
      <c r="U191" s="305">
        <f t="shared" si="57"/>
        <v>1494900000</v>
      </c>
      <c r="V191" s="305">
        <f t="shared" si="58"/>
        <v>24900000</v>
      </c>
      <c r="W191" s="305"/>
      <c r="X191" s="305">
        <f t="shared" si="62"/>
        <v>-108000000</v>
      </c>
      <c r="Y191" s="307">
        <f t="shared" si="59"/>
        <v>0.98361626529806556</v>
      </c>
    </row>
    <row r="192" spans="1:25" s="284" customFormat="1" ht="39.75" customHeight="1">
      <c r="A192" s="441">
        <v>7</v>
      </c>
      <c r="B192" s="442" t="s">
        <v>348</v>
      </c>
      <c r="C192" s="442" t="s">
        <v>350</v>
      </c>
      <c r="D192" s="349">
        <v>2</v>
      </c>
      <c r="E192" s="348" t="s">
        <v>382</v>
      </c>
      <c r="F192" s="348" t="s">
        <v>357</v>
      </c>
      <c r="G192" s="349">
        <v>5</v>
      </c>
      <c r="H192" s="349">
        <v>1</v>
      </c>
      <c r="I192" s="348" t="s">
        <v>350</v>
      </c>
      <c r="J192" s="361" t="s">
        <v>350</v>
      </c>
      <c r="K192" s="361" t="s">
        <v>348</v>
      </c>
      <c r="L192" s="361" t="s">
        <v>354</v>
      </c>
      <c r="M192" s="413" t="s">
        <v>337</v>
      </c>
      <c r="N192" s="367" t="s">
        <v>475</v>
      </c>
      <c r="O192" s="353">
        <f>'[8]SPJ FUNGSIONAL '!O198</f>
        <v>14400000</v>
      </c>
      <c r="P192" s="353">
        <f t="shared" ref="P192:P198" si="66">S192</f>
        <v>14400000</v>
      </c>
      <c r="Q192" s="353">
        <f>T192</f>
        <v>0</v>
      </c>
      <c r="R192" s="353">
        <f t="shared" si="56"/>
        <v>14400000</v>
      </c>
      <c r="S192" s="353">
        <f>'[8]SPJ FUNGSIONAL '!V198</f>
        <v>14400000</v>
      </c>
      <c r="T192" s="353">
        <f>'[8]SPJ FUNGSIONAL '!W198</f>
        <v>0</v>
      </c>
      <c r="U192" s="353">
        <f t="shared" si="57"/>
        <v>14400000</v>
      </c>
      <c r="V192" s="353">
        <f t="shared" si="58"/>
        <v>0</v>
      </c>
      <c r="W192" s="353"/>
      <c r="X192" s="353">
        <f t="shared" si="62"/>
        <v>0</v>
      </c>
      <c r="Y192" s="354">
        <f t="shared" si="59"/>
        <v>1</v>
      </c>
    </row>
    <row r="193" spans="1:25" s="284" customFormat="1" ht="39.75" customHeight="1">
      <c r="A193" s="450">
        <v>7</v>
      </c>
      <c r="B193" s="451" t="s">
        <v>348</v>
      </c>
      <c r="C193" s="451" t="s">
        <v>350</v>
      </c>
      <c r="D193" s="407">
        <v>2</v>
      </c>
      <c r="E193" s="408" t="s">
        <v>382</v>
      </c>
      <c r="F193" s="408" t="s">
        <v>357</v>
      </c>
      <c r="G193" s="407">
        <v>5</v>
      </c>
      <c r="H193" s="407">
        <v>1</v>
      </c>
      <c r="I193" s="408" t="s">
        <v>350</v>
      </c>
      <c r="J193" s="406" t="s">
        <v>350</v>
      </c>
      <c r="K193" s="406" t="s">
        <v>348</v>
      </c>
      <c r="L193" s="406" t="s">
        <v>354</v>
      </c>
      <c r="M193" s="452">
        <v>6</v>
      </c>
      <c r="N193" s="412" t="s">
        <v>476</v>
      </c>
      <c r="O193" s="353">
        <f>'[8]SPJ FUNGSIONAL '!O199</f>
        <v>44700000</v>
      </c>
      <c r="P193" s="353">
        <f t="shared" si="66"/>
        <v>16750000</v>
      </c>
      <c r="Q193" s="353">
        <v>25050000</v>
      </c>
      <c r="R193" s="353">
        <f t="shared" si="56"/>
        <v>41800000</v>
      </c>
      <c r="S193" s="353">
        <f>'[8]SPJ FUNGSIONAL '!V199</f>
        <v>16750000</v>
      </c>
      <c r="T193" s="353">
        <f>'[8]SPJ FUNGSIONAL '!W199</f>
        <v>27550000</v>
      </c>
      <c r="U193" s="353">
        <f t="shared" si="57"/>
        <v>44300000</v>
      </c>
      <c r="V193" s="353">
        <f t="shared" si="58"/>
        <v>400000</v>
      </c>
      <c r="W193" s="353"/>
      <c r="X193" s="353">
        <f t="shared" si="62"/>
        <v>-2500000</v>
      </c>
      <c r="Y193" s="354">
        <f t="shared" si="59"/>
        <v>0.99105145413870244</v>
      </c>
    </row>
    <row r="194" spans="1:25" s="284" customFormat="1" ht="39.75" customHeight="1">
      <c r="A194" s="441">
        <v>7</v>
      </c>
      <c r="B194" s="442" t="s">
        <v>348</v>
      </c>
      <c r="C194" s="442" t="s">
        <v>350</v>
      </c>
      <c r="D194" s="349">
        <v>2</v>
      </c>
      <c r="E194" s="348" t="s">
        <v>382</v>
      </c>
      <c r="F194" s="348" t="s">
        <v>357</v>
      </c>
      <c r="G194" s="349">
        <v>5</v>
      </c>
      <c r="H194" s="349">
        <v>1</v>
      </c>
      <c r="I194" s="348" t="s">
        <v>350</v>
      </c>
      <c r="J194" s="361" t="s">
        <v>350</v>
      </c>
      <c r="K194" s="361" t="s">
        <v>348</v>
      </c>
      <c r="L194" s="361" t="s">
        <v>384</v>
      </c>
      <c r="M194" s="413">
        <v>0</v>
      </c>
      <c r="N194" s="367" t="s">
        <v>477</v>
      </c>
      <c r="O194" s="353">
        <f>'[8]SPJ FUNGSIONAL '!O200</f>
        <v>1427000000</v>
      </c>
      <c r="P194" s="353">
        <f>'[9]LRA SP2D'!$R$194</f>
        <v>1138050000</v>
      </c>
      <c r="Q194" s="353">
        <v>163200000</v>
      </c>
      <c r="R194" s="353">
        <f t="shared" si="56"/>
        <v>1301250000</v>
      </c>
      <c r="S194" s="353">
        <f>'[8]SPJ FUNGSIONAL '!V200</f>
        <v>1158800000</v>
      </c>
      <c r="T194" s="353">
        <f>'[8]SPJ FUNGSIONAL '!W200</f>
        <v>247950000</v>
      </c>
      <c r="U194" s="353">
        <f t="shared" si="57"/>
        <v>1406750000</v>
      </c>
      <c r="V194" s="353">
        <f t="shared" si="58"/>
        <v>20250000</v>
      </c>
      <c r="W194" s="353"/>
      <c r="X194" s="353">
        <f t="shared" si="62"/>
        <v>-105500000</v>
      </c>
      <c r="Y194" s="354">
        <f t="shared" si="59"/>
        <v>0.98580939032936232</v>
      </c>
    </row>
    <row r="195" spans="1:25" s="284" customFormat="1" ht="39.75" customHeight="1">
      <c r="A195" s="441">
        <v>7</v>
      </c>
      <c r="B195" s="442" t="s">
        <v>348</v>
      </c>
      <c r="C195" s="442" t="s">
        <v>350</v>
      </c>
      <c r="D195" s="349">
        <v>2</v>
      </c>
      <c r="E195" s="348" t="s">
        <v>382</v>
      </c>
      <c r="F195" s="348" t="s">
        <v>357</v>
      </c>
      <c r="G195" s="349">
        <v>5</v>
      </c>
      <c r="H195" s="349">
        <v>1</v>
      </c>
      <c r="I195" s="348" t="s">
        <v>350</v>
      </c>
      <c r="J195" s="361" t="s">
        <v>350</v>
      </c>
      <c r="K195" s="361" t="s">
        <v>348</v>
      </c>
      <c r="L195" s="361" t="s">
        <v>380</v>
      </c>
      <c r="M195" s="376">
        <v>7</v>
      </c>
      <c r="N195" s="351" t="s">
        <v>478</v>
      </c>
      <c r="O195" s="353">
        <f>'[8]SPJ FUNGSIONAL '!O201</f>
        <v>26250000</v>
      </c>
      <c r="P195" s="353">
        <f t="shared" si="66"/>
        <v>17250000</v>
      </c>
      <c r="Q195" s="353">
        <v>9000000</v>
      </c>
      <c r="R195" s="353">
        <f t="shared" si="56"/>
        <v>26250000</v>
      </c>
      <c r="S195" s="353">
        <f>'[8]SPJ FUNGSIONAL '!V201</f>
        <v>17250000</v>
      </c>
      <c r="T195" s="353">
        <f>'[8]SPJ FUNGSIONAL '!W201</f>
        <v>9000000</v>
      </c>
      <c r="U195" s="353">
        <f t="shared" si="57"/>
        <v>26250000</v>
      </c>
      <c r="V195" s="353">
        <f t="shared" si="58"/>
        <v>0</v>
      </c>
      <c r="W195" s="353"/>
      <c r="X195" s="353">
        <f t="shared" si="62"/>
        <v>0</v>
      </c>
      <c r="Y195" s="354">
        <f t="shared" si="59"/>
        <v>1</v>
      </c>
    </row>
    <row r="196" spans="1:25" s="284" customFormat="1" ht="39.75" customHeight="1">
      <c r="A196" s="450">
        <v>7</v>
      </c>
      <c r="B196" s="451" t="s">
        <v>348</v>
      </c>
      <c r="C196" s="451" t="s">
        <v>350</v>
      </c>
      <c r="D196" s="407">
        <v>2</v>
      </c>
      <c r="E196" s="408" t="s">
        <v>382</v>
      </c>
      <c r="F196" s="408" t="s">
        <v>357</v>
      </c>
      <c r="G196" s="407">
        <v>5</v>
      </c>
      <c r="H196" s="407">
        <v>1</v>
      </c>
      <c r="I196" s="408" t="s">
        <v>350</v>
      </c>
      <c r="J196" s="406" t="s">
        <v>350</v>
      </c>
      <c r="K196" s="406" t="s">
        <v>382</v>
      </c>
      <c r="L196" s="406" t="s">
        <v>380</v>
      </c>
      <c r="M196" s="403">
        <v>6</v>
      </c>
      <c r="N196" s="409" t="s">
        <v>479</v>
      </c>
      <c r="O196" s="353">
        <f>'[8]SPJ FUNGSIONAL '!O202</f>
        <v>5500000</v>
      </c>
      <c r="P196" s="353">
        <f t="shared" si="66"/>
        <v>0</v>
      </c>
      <c r="Q196" s="353">
        <f>T196</f>
        <v>0</v>
      </c>
      <c r="R196" s="353">
        <f t="shared" si="56"/>
        <v>0</v>
      </c>
      <c r="S196" s="353"/>
      <c r="T196" s="353">
        <f>'[8]SPJ FUNGSIONAL '!W202</f>
        <v>0</v>
      </c>
      <c r="U196" s="353">
        <f t="shared" si="57"/>
        <v>0</v>
      </c>
      <c r="V196" s="353">
        <f t="shared" si="58"/>
        <v>5500000</v>
      </c>
      <c r="W196" s="353"/>
      <c r="X196" s="353">
        <f t="shared" si="62"/>
        <v>0</v>
      </c>
      <c r="Y196" s="354">
        <f t="shared" si="59"/>
        <v>0</v>
      </c>
    </row>
    <row r="197" spans="1:25" s="284" customFormat="1" ht="39.75" customHeight="1">
      <c r="A197" s="450">
        <v>7</v>
      </c>
      <c r="B197" s="451" t="s">
        <v>348</v>
      </c>
      <c r="C197" s="451" t="s">
        <v>350</v>
      </c>
      <c r="D197" s="407">
        <v>2</v>
      </c>
      <c r="E197" s="408" t="s">
        <v>382</v>
      </c>
      <c r="F197" s="408" t="s">
        <v>357</v>
      </c>
      <c r="G197" s="407">
        <v>5</v>
      </c>
      <c r="H197" s="407">
        <v>1</v>
      </c>
      <c r="I197" s="408" t="s">
        <v>350</v>
      </c>
      <c r="J197" s="406" t="s">
        <v>350</v>
      </c>
      <c r="K197" s="406" t="s">
        <v>382</v>
      </c>
      <c r="L197" s="406" t="s">
        <v>444</v>
      </c>
      <c r="M197" s="403">
        <v>7</v>
      </c>
      <c r="N197" s="409" t="s">
        <v>480</v>
      </c>
      <c r="O197" s="353">
        <f>'[8]SPJ FUNGSIONAL '!O203</f>
        <v>1950000</v>
      </c>
      <c r="P197" s="353">
        <f t="shared" si="66"/>
        <v>0</v>
      </c>
      <c r="Q197" s="353"/>
      <c r="R197" s="353"/>
      <c r="S197" s="353"/>
      <c r="T197" s="353"/>
      <c r="U197" s="353"/>
      <c r="V197" s="353">
        <f t="shared" si="58"/>
        <v>1950000</v>
      </c>
      <c r="W197" s="353"/>
      <c r="X197" s="353">
        <f t="shared" si="62"/>
        <v>0</v>
      </c>
      <c r="Y197" s="354">
        <f t="shared" si="59"/>
        <v>0</v>
      </c>
    </row>
    <row r="198" spans="1:25" s="284" customFormat="1" ht="39.75" customHeight="1">
      <c r="A198" s="450">
        <v>7</v>
      </c>
      <c r="B198" s="451" t="s">
        <v>348</v>
      </c>
      <c r="C198" s="451" t="s">
        <v>350</v>
      </c>
      <c r="D198" s="407">
        <v>2</v>
      </c>
      <c r="E198" s="408" t="s">
        <v>382</v>
      </c>
      <c r="F198" s="408" t="s">
        <v>357</v>
      </c>
      <c r="G198" s="407">
        <v>5</v>
      </c>
      <c r="H198" s="407">
        <v>1</v>
      </c>
      <c r="I198" s="408" t="s">
        <v>350</v>
      </c>
      <c r="J198" s="406" t="s">
        <v>350</v>
      </c>
      <c r="K198" s="406" t="s">
        <v>359</v>
      </c>
      <c r="L198" s="406" t="s">
        <v>481</v>
      </c>
      <c r="M198" s="403">
        <v>1</v>
      </c>
      <c r="N198" s="412" t="s">
        <v>482</v>
      </c>
      <c r="O198" s="353">
        <f>'[8]SPJ FUNGSIONAL '!O204</f>
        <v>0</v>
      </c>
      <c r="P198" s="353">
        <f t="shared" si="66"/>
        <v>3200000</v>
      </c>
      <c r="Q198" s="353"/>
      <c r="R198" s="353"/>
      <c r="S198" s="353">
        <f>'[8]SPJ FUNGSIONAL '!V202</f>
        <v>3200000</v>
      </c>
      <c r="T198" s="353"/>
      <c r="U198" s="353"/>
      <c r="V198" s="353">
        <f t="shared" si="58"/>
        <v>0</v>
      </c>
      <c r="W198" s="353"/>
      <c r="X198" s="353">
        <f t="shared" si="62"/>
        <v>0</v>
      </c>
      <c r="Y198" s="354">
        <v>0</v>
      </c>
    </row>
    <row r="199" spans="1:25" s="284" customFormat="1" ht="39.75" customHeight="1">
      <c r="A199" s="439">
        <v>7</v>
      </c>
      <c r="B199" s="440" t="s">
        <v>348</v>
      </c>
      <c r="C199" s="440" t="s">
        <v>350</v>
      </c>
      <c r="D199" s="333">
        <v>2</v>
      </c>
      <c r="E199" s="346" t="s">
        <v>382</v>
      </c>
      <c r="F199" s="346" t="s">
        <v>357</v>
      </c>
      <c r="G199" s="333">
        <v>5</v>
      </c>
      <c r="H199" s="333">
        <v>1</v>
      </c>
      <c r="I199" s="346" t="s">
        <v>350</v>
      </c>
      <c r="J199" s="378" t="s">
        <v>382</v>
      </c>
      <c r="K199" s="379"/>
      <c r="L199" s="363"/>
      <c r="M199" s="376"/>
      <c r="N199" s="374" t="s">
        <v>400</v>
      </c>
      <c r="O199" s="305">
        <f>O200</f>
        <v>121302750</v>
      </c>
      <c r="P199" s="305">
        <f>P200</f>
        <v>64797250</v>
      </c>
      <c r="Q199" s="305">
        <f>Q200</f>
        <v>29000000</v>
      </c>
      <c r="R199" s="305">
        <f t="shared" si="56"/>
        <v>93797250</v>
      </c>
      <c r="S199" s="305">
        <f>'[8]SPJ FUNGSIONAL '!V205</f>
        <v>69447250</v>
      </c>
      <c r="T199" s="305">
        <f>T200</f>
        <v>28375000</v>
      </c>
      <c r="U199" s="305">
        <f t="shared" si="57"/>
        <v>97822250</v>
      </c>
      <c r="V199" s="305">
        <f t="shared" si="58"/>
        <v>23480500</v>
      </c>
      <c r="W199" s="305"/>
      <c r="X199" s="305">
        <f t="shared" si="62"/>
        <v>-4025000</v>
      </c>
      <c r="Y199" s="307">
        <f t="shared" si="59"/>
        <v>0.80643060441745962</v>
      </c>
    </row>
    <row r="200" spans="1:25" s="284" customFormat="1" ht="39.75" customHeight="1">
      <c r="A200" s="439">
        <v>7</v>
      </c>
      <c r="B200" s="440" t="s">
        <v>348</v>
      </c>
      <c r="C200" s="440" t="s">
        <v>350</v>
      </c>
      <c r="D200" s="333">
        <v>2</v>
      </c>
      <c r="E200" s="346" t="s">
        <v>382</v>
      </c>
      <c r="F200" s="346" t="s">
        <v>357</v>
      </c>
      <c r="G200" s="333">
        <v>5</v>
      </c>
      <c r="H200" s="333">
        <v>1</v>
      </c>
      <c r="I200" s="346" t="s">
        <v>350</v>
      </c>
      <c r="J200" s="378" t="s">
        <v>382</v>
      </c>
      <c r="K200" s="378" t="s">
        <v>348</v>
      </c>
      <c r="L200" s="379"/>
      <c r="M200" s="376"/>
      <c r="N200" s="374" t="s">
        <v>401</v>
      </c>
      <c r="O200" s="305">
        <f>O201+O202</f>
        <v>121302750</v>
      </c>
      <c r="P200" s="305">
        <f>P201+P202</f>
        <v>64797250</v>
      </c>
      <c r="Q200" s="305">
        <f>Q201+Q202</f>
        <v>29000000</v>
      </c>
      <c r="R200" s="305">
        <f t="shared" si="56"/>
        <v>93797250</v>
      </c>
      <c r="S200" s="305">
        <f>'[8]SPJ FUNGSIONAL '!V206</f>
        <v>69447250</v>
      </c>
      <c r="T200" s="305">
        <f>T201+T202</f>
        <v>28375000</v>
      </c>
      <c r="U200" s="305">
        <f t="shared" si="57"/>
        <v>97822250</v>
      </c>
      <c r="V200" s="305">
        <f t="shared" si="58"/>
        <v>23480500</v>
      </c>
      <c r="W200" s="305"/>
      <c r="X200" s="305">
        <f t="shared" si="62"/>
        <v>-4025000</v>
      </c>
      <c r="Y200" s="354">
        <f t="shared" si="59"/>
        <v>0.80643060441745962</v>
      </c>
    </row>
    <row r="201" spans="1:25" s="284" customFormat="1" ht="39.75" customHeight="1">
      <c r="A201" s="441">
        <v>7</v>
      </c>
      <c r="B201" s="442" t="s">
        <v>348</v>
      </c>
      <c r="C201" s="442" t="s">
        <v>350</v>
      </c>
      <c r="D201" s="349">
        <v>2</v>
      </c>
      <c r="E201" s="348" t="s">
        <v>382</v>
      </c>
      <c r="F201" s="348" t="s">
        <v>357</v>
      </c>
      <c r="G201" s="349">
        <v>5</v>
      </c>
      <c r="H201" s="349">
        <v>1</v>
      </c>
      <c r="I201" s="348" t="s">
        <v>350</v>
      </c>
      <c r="J201" s="361" t="s">
        <v>382</v>
      </c>
      <c r="K201" s="361" t="s">
        <v>348</v>
      </c>
      <c r="L201" s="361" t="s">
        <v>354</v>
      </c>
      <c r="M201" s="413" t="s">
        <v>336</v>
      </c>
      <c r="N201" s="351" t="s">
        <v>402</v>
      </c>
      <c r="O201" s="353">
        <f>'[8]SPJ FUNGSIONAL '!O207</f>
        <v>5402750</v>
      </c>
      <c r="P201" s="353">
        <f>'[9]LRA SP2D'!$R$201</f>
        <v>2747250</v>
      </c>
      <c r="Q201" s="353">
        <v>2150000</v>
      </c>
      <c r="R201" s="353">
        <f t="shared" si="56"/>
        <v>4897250</v>
      </c>
      <c r="S201" s="353">
        <f>'[8]SPJ FUNGSIONAL '!V207</f>
        <v>4897250</v>
      </c>
      <c r="T201" s="353">
        <f>'[8]SPJ FUNGSIONAL '!W207</f>
        <v>125000</v>
      </c>
      <c r="U201" s="353">
        <f t="shared" si="57"/>
        <v>5022250</v>
      </c>
      <c r="V201" s="353">
        <f t="shared" si="58"/>
        <v>380500</v>
      </c>
      <c r="W201" s="353"/>
      <c r="X201" s="353">
        <f t="shared" si="62"/>
        <v>-125000</v>
      </c>
      <c r="Y201" s="354">
        <f t="shared" si="59"/>
        <v>0.92957290268844572</v>
      </c>
    </row>
    <row r="202" spans="1:25" s="284" customFormat="1" ht="39.75" customHeight="1">
      <c r="A202" s="441">
        <v>7</v>
      </c>
      <c r="B202" s="442" t="s">
        <v>348</v>
      </c>
      <c r="C202" s="442" t="s">
        <v>350</v>
      </c>
      <c r="D202" s="349">
        <v>2</v>
      </c>
      <c r="E202" s="348" t="s">
        <v>382</v>
      </c>
      <c r="F202" s="348" t="s">
        <v>357</v>
      </c>
      <c r="G202" s="349">
        <v>5</v>
      </c>
      <c r="H202" s="349">
        <v>1</v>
      </c>
      <c r="I202" s="348" t="s">
        <v>350</v>
      </c>
      <c r="J202" s="361" t="s">
        <v>382</v>
      </c>
      <c r="K202" s="361" t="s">
        <v>348</v>
      </c>
      <c r="L202" s="361" t="s">
        <v>354</v>
      </c>
      <c r="M202" s="376">
        <v>3</v>
      </c>
      <c r="N202" s="351" t="s">
        <v>483</v>
      </c>
      <c r="O202" s="353">
        <f>'[8]SPJ FUNGSIONAL '!O208</f>
        <v>115900000</v>
      </c>
      <c r="P202" s="353">
        <f>'[9]LRA SP2D'!$R$202</f>
        <v>62050000</v>
      </c>
      <c r="Q202" s="353">
        <v>26850000</v>
      </c>
      <c r="R202" s="353">
        <f t="shared" si="56"/>
        <v>88900000</v>
      </c>
      <c r="S202" s="353">
        <f>'[8]SPJ FUNGSIONAL '!V208</f>
        <v>64550000</v>
      </c>
      <c r="T202" s="353">
        <f>'[8]SPJ FUNGSIONAL '!W208</f>
        <v>28250000</v>
      </c>
      <c r="U202" s="353">
        <f t="shared" si="57"/>
        <v>92800000</v>
      </c>
      <c r="V202" s="353">
        <f t="shared" si="58"/>
        <v>23100000</v>
      </c>
      <c r="W202" s="353"/>
      <c r="X202" s="353">
        <f t="shared" si="62"/>
        <v>-3900000</v>
      </c>
      <c r="Y202" s="354">
        <f t="shared" si="59"/>
        <v>0.80069025021570317</v>
      </c>
    </row>
    <row r="203" spans="1:25" s="284" customFormat="1" ht="39.75" customHeight="1">
      <c r="A203" s="439">
        <v>7</v>
      </c>
      <c r="B203" s="440" t="s">
        <v>348</v>
      </c>
      <c r="C203" s="440" t="s">
        <v>350</v>
      </c>
      <c r="D203" s="333">
        <v>2</v>
      </c>
      <c r="E203" s="346" t="s">
        <v>382</v>
      </c>
      <c r="F203" s="346" t="s">
        <v>357</v>
      </c>
      <c r="G203" s="333">
        <v>5</v>
      </c>
      <c r="H203" s="333">
        <v>1</v>
      </c>
      <c r="I203" s="346" t="s">
        <v>350</v>
      </c>
      <c r="J203" s="378" t="s">
        <v>359</v>
      </c>
      <c r="K203" s="379"/>
      <c r="L203" s="363"/>
      <c r="M203" s="376"/>
      <c r="N203" s="365" t="s">
        <v>484</v>
      </c>
      <c r="O203" s="305">
        <f t="shared" ref="O203:Q204" si="67">O204</f>
        <v>14000000</v>
      </c>
      <c r="P203" s="305">
        <f t="shared" si="67"/>
        <v>10000000</v>
      </c>
      <c r="Q203" s="305">
        <f t="shared" si="67"/>
        <v>4000000</v>
      </c>
      <c r="R203" s="305">
        <f t="shared" si="56"/>
        <v>14000000</v>
      </c>
      <c r="S203" s="305">
        <f>S204</f>
        <v>10000000</v>
      </c>
      <c r="T203" s="305">
        <f>T204</f>
        <v>4000000</v>
      </c>
      <c r="U203" s="305">
        <f t="shared" si="57"/>
        <v>14000000</v>
      </c>
      <c r="V203" s="305">
        <f t="shared" si="58"/>
        <v>0</v>
      </c>
      <c r="W203" s="305"/>
      <c r="X203" s="305">
        <f t="shared" si="62"/>
        <v>0</v>
      </c>
      <c r="Y203" s="307">
        <f t="shared" si="59"/>
        <v>1</v>
      </c>
    </row>
    <row r="204" spans="1:25" s="284" customFormat="1" ht="39.75" customHeight="1">
      <c r="A204" s="439">
        <v>7</v>
      </c>
      <c r="B204" s="440" t="s">
        <v>348</v>
      </c>
      <c r="C204" s="440" t="s">
        <v>350</v>
      </c>
      <c r="D204" s="333">
        <v>2</v>
      </c>
      <c r="E204" s="346" t="s">
        <v>382</v>
      </c>
      <c r="F204" s="346" t="s">
        <v>357</v>
      </c>
      <c r="G204" s="333">
        <v>5</v>
      </c>
      <c r="H204" s="333">
        <v>1</v>
      </c>
      <c r="I204" s="346" t="s">
        <v>350</v>
      </c>
      <c r="J204" s="378" t="s">
        <v>359</v>
      </c>
      <c r="K204" s="378" t="s">
        <v>348</v>
      </c>
      <c r="L204" s="363"/>
      <c r="M204" s="376"/>
      <c r="N204" s="365" t="s">
        <v>485</v>
      </c>
      <c r="O204" s="305">
        <f t="shared" si="67"/>
        <v>14000000</v>
      </c>
      <c r="P204" s="305">
        <f t="shared" si="67"/>
        <v>10000000</v>
      </c>
      <c r="Q204" s="305">
        <f t="shared" si="67"/>
        <v>4000000</v>
      </c>
      <c r="R204" s="305">
        <f t="shared" si="56"/>
        <v>14000000</v>
      </c>
      <c r="S204" s="305">
        <f>S205</f>
        <v>10000000</v>
      </c>
      <c r="T204" s="305">
        <f>T205</f>
        <v>4000000</v>
      </c>
      <c r="U204" s="305">
        <f t="shared" si="57"/>
        <v>14000000</v>
      </c>
      <c r="V204" s="305">
        <f t="shared" si="58"/>
        <v>0</v>
      </c>
      <c r="W204" s="305"/>
      <c r="X204" s="305">
        <f t="shared" si="62"/>
        <v>0</v>
      </c>
      <c r="Y204" s="307">
        <f t="shared" si="59"/>
        <v>1</v>
      </c>
    </row>
    <row r="205" spans="1:25" s="284" customFormat="1" ht="39.75" customHeight="1">
      <c r="A205" s="441">
        <v>7</v>
      </c>
      <c r="B205" s="442" t="s">
        <v>348</v>
      </c>
      <c r="C205" s="442" t="s">
        <v>350</v>
      </c>
      <c r="D205" s="349">
        <v>2</v>
      </c>
      <c r="E205" s="348" t="s">
        <v>382</v>
      </c>
      <c r="F205" s="348" t="s">
        <v>357</v>
      </c>
      <c r="G205" s="349">
        <v>5</v>
      </c>
      <c r="H205" s="349">
        <v>1</v>
      </c>
      <c r="I205" s="348" t="s">
        <v>350</v>
      </c>
      <c r="J205" s="361" t="s">
        <v>359</v>
      </c>
      <c r="K205" s="361" t="s">
        <v>348</v>
      </c>
      <c r="L205" s="361" t="s">
        <v>354</v>
      </c>
      <c r="M205" s="413" t="s">
        <v>336</v>
      </c>
      <c r="N205" s="351" t="s">
        <v>486</v>
      </c>
      <c r="O205" s="353">
        <f>'[8]SPJ FUNGSIONAL '!O211</f>
        <v>14000000</v>
      </c>
      <c r="P205" s="353">
        <f>S205</f>
        <v>10000000</v>
      </c>
      <c r="Q205" s="353">
        <f>T205</f>
        <v>4000000</v>
      </c>
      <c r="R205" s="353">
        <f t="shared" si="56"/>
        <v>14000000</v>
      </c>
      <c r="S205" s="353">
        <f>'[8]SPJ FUNGSIONAL '!V211</f>
        <v>10000000</v>
      </c>
      <c r="T205" s="353">
        <f>'[8]SPJ FUNGSIONAL '!W211</f>
        <v>4000000</v>
      </c>
      <c r="U205" s="353">
        <f t="shared" si="57"/>
        <v>14000000</v>
      </c>
      <c r="V205" s="353">
        <f t="shared" si="58"/>
        <v>0</v>
      </c>
      <c r="W205" s="353"/>
      <c r="X205" s="353">
        <f t="shared" si="62"/>
        <v>0</v>
      </c>
      <c r="Y205" s="354">
        <f t="shared" si="59"/>
        <v>1</v>
      </c>
    </row>
    <row r="206" spans="1:25" s="284" customFormat="1" ht="25" customHeight="1">
      <c r="A206" s="441"/>
      <c r="B206" s="453"/>
      <c r="C206" s="453"/>
      <c r="D206" s="349"/>
      <c r="E206" s="349"/>
      <c r="F206" s="349"/>
      <c r="G206" s="349"/>
      <c r="H206" s="349"/>
      <c r="I206" s="349"/>
      <c r="J206" s="363"/>
      <c r="K206" s="363"/>
      <c r="L206" s="363"/>
      <c r="M206" s="376"/>
      <c r="N206" s="351"/>
      <c r="O206" s="353"/>
      <c r="P206" s="353"/>
      <c r="Q206" s="353"/>
      <c r="R206" s="353">
        <f t="shared" si="56"/>
        <v>0</v>
      </c>
      <c r="S206" s="353"/>
      <c r="T206" s="353"/>
      <c r="U206" s="353">
        <f t="shared" si="57"/>
        <v>0</v>
      </c>
      <c r="V206" s="353">
        <f t="shared" si="58"/>
        <v>0</v>
      </c>
      <c r="W206" s="353">
        <f t="shared" ref="W206:W239" si="68">R206-U206</f>
        <v>0</v>
      </c>
      <c r="X206" s="353">
        <f t="shared" si="62"/>
        <v>0</v>
      </c>
      <c r="Y206" s="354"/>
    </row>
    <row r="207" spans="1:25" s="284" customFormat="1" ht="42" customHeight="1">
      <c r="A207" s="419">
        <v>7</v>
      </c>
      <c r="B207" s="420" t="s">
        <v>348</v>
      </c>
      <c r="C207" s="420" t="s">
        <v>357</v>
      </c>
      <c r="D207" s="421"/>
      <c r="E207" s="421"/>
      <c r="F207" s="421"/>
      <c r="G207" s="421"/>
      <c r="H207" s="421"/>
      <c r="I207" s="421"/>
      <c r="J207" s="421"/>
      <c r="K207" s="421"/>
      <c r="L207" s="421"/>
      <c r="M207" s="422"/>
      <c r="N207" s="423" t="s">
        <v>180</v>
      </c>
      <c r="O207" s="424">
        <f>O209+O261</f>
        <v>2814103200</v>
      </c>
      <c r="P207" s="424">
        <f t="shared" ref="P207:V207" si="69">P209+P261</f>
        <v>2184848530</v>
      </c>
      <c r="Q207" s="424">
        <f t="shared" si="69"/>
        <v>442571051</v>
      </c>
      <c r="R207" s="424">
        <f t="shared" si="69"/>
        <v>2627419581</v>
      </c>
      <c r="S207" s="424">
        <f t="shared" si="69"/>
        <v>2267492080</v>
      </c>
      <c r="T207" s="424">
        <f t="shared" si="69"/>
        <v>484742301</v>
      </c>
      <c r="U207" s="424">
        <f t="shared" si="69"/>
        <v>2752234381</v>
      </c>
      <c r="V207" s="424">
        <f t="shared" si="69"/>
        <v>61868819</v>
      </c>
      <c r="W207" s="315"/>
      <c r="X207" s="315">
        <f t="shared" si="62"/>
        <v>-124814800</v>
      </c>
      <c r="Y207" s="425">
        <f t="shared" si="59"/>
        <v>0.97801472987913163</v>
      </c>
    </row>
    <row r="208" spans="1:25" s="284" customFormat="1" ht="25" customHeight="1">
      <c r="A208" s="446"/>
      <c r="B208" s="447"/>
      <c r="C208" s="447"/>
      <c r="D208" s="447"/>
      <c r="E208" s="447"/>
      <c r="F208" s="447"/>
      <c r="G208" s="447"/>
      <c r="H208" s="447"/>
      <c r="I208" s="447"/>
      <c r="J208" s="447"/>
      <c r="K208" s="447"/>
      <c r="L208" s="447"/>
      <c r="M208" s="448"/>
      <c r="N208" s="302"/>
      <c r="O208" s="322"/>
      <c r="P208" s="353"/>
      <c r="Q208" s="353"/>
      <c r="R208" s="353">
        <f t="shared" si="56"/>
        <v>0</v>
      </c>
      <c r="S208" s="353"/>
      <c r="T208" s="353"/>
      <c r="U208" s="353">
        <f t="shared" si="57"/>
        <v>0</v>
      </c>
      <c r="V208" s="353">
        <f t="shared" si="58"/>
        <v>0</v>
      </c>
      <c r="W208" s="353">
        <f t="shared" si="68"/>
        <v>0</v>
      </c>
      <c r="X208" s="353">
        <f t="shared" si="62"/>
        <v>0</v>
      </c>
      <c r="Y208" s="354"/>
    </row>
    <row r="209" spans="1:29" s="284" customFormat="1" ht="25" customHeight="1">
      <c r="A209" s="426">
        <v>7</v>
      </c>
      <c r="B209" s="427" t="s">
        <v>348</v>
      </c>
      <c r="C209" s="427" t="s">
        <v>357</v>
      </c>
      <c r="D209" s="427" t="s">
        <v>397</v>
      </c>
      <c r="E209" s="427" t="s">
        <v>350</v>
      </c>
      <c r="F209" s="428"/>
      <c r="G209" s="428"/>
      <c r="H209" s="428"/>
      <c r="I209" s="428"/>
      <c r="J209" s="428"/>
      <c r="K209" s="428"/>
      <c r="L209" s="428"/>
      <c r="M209" s="443"/>
      <c r="N209" s="328" t="s">
        <v>487</v>
      </c>
      <c r="O209" s="444">
        <f>O211+O229</f>
        <v>645362200</v>
      </c>
      <c r="P209" s="445">
        <f>P211+P229</f>
        <v>382843280</v>
      </c>
      <c r="Q209" s="445">
        <f>Q211+Q229</f>
        <v>183637301</v>
      </c>
      <c r="R209" s="330">
        <f>P209+Q209</f>
        <v>566480581</v>
      </c>
      <c r="S209" s="445">
        <f>S211+S229</f>
        <v>465486830</v>
      </c>
      <c r="T209" s="445">
        <f>T211+T229</f>
        <v>123808551</v>
      </c>
      <c r="U209" s="330">
        <f t="shared" si="57"/>
        <v>589295381</v>
      </c>
      <c r="V209" s="330">
        <f t="shared" si="58"/>
        <v>56066819</v>
      </c>
      <c r="W209" s="330"/>
      <c r="X209" s="330">
        <f t="shared" si="62"/>
        <v>-22814800</v>
      </c>
      <c r="Y209" s="331">
        <f t="shared" si="59"/>
        <v>0.91312348476560912</v>
      </c>
    </row>
    <row r="210" spans="1:29" s="284" customFormat="1" ht="25" customHeight="1">
      <c r="A210" s="446"/>
      <c r="B210" s="447"/>
      <c r="C210" s="447"/>
      <c r="D210" s="447"/>
      <c r="E210" s="447"/>
      <c r="F210" s="447"/>
      <c r="G210" s="447"/>
      <c r="H210" s="447"/>
      <c r="I210" s="447"/>
      <c r="J210" s="447"/>
      <c r="K210" s="447"/>
      <c r="L210" s="447"/>
      <c r="M210" s="448"/>
      <c r="N210" s="302"/>
      <c r="O210" s="322"/>
      <c r="P210" s="323"/>
      <c r="Q210" s="323"/>
      <c r="R210" s="305"/>
      <c r="S210" s="323"/>
      <c r="T210" s="323"/>
      <c r="U210" s="305"/>
      <c r="V210" s="305"/>
      <c r="W210" s="305"/>
      <c r="X210" s="305"/>
      <c r="Y210" s="307"/>
    </row>
    <row r="211" spans="1:29" s="284" customFormat="1" ht="79.5" customHeight="1">
      <c r="A211" s="433">
        <v>7</v>
      </c>
      <c r="B211" s="434" t="s">
        <v>348</v>
      </c>
      <c r="C211" s="434" t="s">
        <v>357</v>
      </c>
      <c r="D211" s="340">
        <v>2</v>
      </c>
      <c r="E211" s="435" t="s">
        <v>350</v>
      </c>
      <c r="F211" s="435" t="s">
        <v>348</v>
      </c>
      <c r="G211" s="437"/>
      <c r="H211" s="437"/>
      <c r="I211" s="437"/>
      <c r="J211" s="437"/>
      <c r="K211" s="437"/>
      <c r="L211" s="437"/>
      <c r="M211" s="438"/>
      <c r="N211" s="370" t="s">
        <v>488</v>
      </c>
      <c r="O211" s="343">
        <f>O212</f>
        <v>121181400</v>
      </c>
      <c r="P211" s="344">
        <f>P212</f>
        <v>116954400</v>
      </c>
      <c r="Q211" s="344">
        <f>Q212</f>
        <v>0</v>
      </c>
      <c r="R211" s="344">
        <f t="shared" si="56"/>
        <v>116954400</v>
      </c>
      <c r="S211" s="344">
        <f>S212</f>
        <v>116954400</v>
      </c>
      <c r="T211" s="344">
        <f>T212</f>
        <v>-255000</v>
      </c>
      <c r="U211" s="344">
        <f t="shared" si="57"/>
        <v>116699400</v>
      </c>
      <c r="V211" s="344">
        <f t="shared" si="58"/>
        <v>4482000</v>
      </c>
      <c r="W211" s="344"/>
      <c r="X211" s="344">
        <f t="shared" si="62"/>
        <v>255000</v>
      </c>
      <c r="Y211" s="371">
        <f t="shared" si="59"/>
        <v>0.96301412593021707</v>
      </c>
    </row>
    <row r="212" spans="1:29" s="284" customFormat="1" ht="39.75" customHeight="1">
      <c r="A212" s="439">
        <v>7</v>
      </c>
      <c r="B212" s="440" t="s">
        <v>348</v>
      </c>
      <c r="C212" s="440" t="s">
        <v>357</v>
      </c>
      <c r="D212" s="333">
        <v>2</v>
      </c>
      <c r="E212" s="454" t="s">
        <v>350</v>
      </c>
      <c r="F212" s="454" t="s">
        <v>348</v>
      </c>
      <c r="G212" s="455">
        <v>5</v>
      </c>
      <c r="H212" s="455">
        <v>1</v>
      </c>
      <c r="I212" s="454" t="s">
        <v>350</v>
      </c>
      <c r="J212" s="456"/>
      <c r="K212" s="456"/>
      <c r="L212" s="456"/>
      <c r="M212" s="457"/>
      <c r="N212" s="374" t="s">
        <v>489</v>
      </c>
      <c r="O212" s="305">
        <f>O213+O221</f>
        <v>121181400</v>
      </c>
      <c r="P212" s="305">
        <f>P213+P221</f>
        <v>116954400</v>
      </c>
      <c r="Q212" s="305">
        <f>Q213+Q221</f>
        <v>0</v>
      </c>
      <c r="R212" s="305">
        <f t="shared" si="56"/>
        <v>116954400</v>
      </c>
      <c r="S212" s="305">
        <f>S213+S221</f>
        <v>116954400</v>
      </c>
      <c r="T212" s="305">
        <f>T213+T221</f>
        <v>-255000</v>
      </c>
      <c r="U212" s="305">
        <f t="shared" si="57"/>
        <v>116699400</v>
      </c>
      <c r="V212" s="305">
        <f t="shared" si="58"/>
        <v>4482000</v>
      </c>
      <c r="W212" s="305"/>
      <c r="X212" s="305">
        <f t="shared" si="62"/>
        <v>255000</v>
      </c>
      <c r="Y212" s="307">
        <f t="shared" si="59"/>
        <v>0.96301412593021707</v>
      </c>
    </row>
    <row r="213" spans="1:29" s="284" customFormat="1" ht="39.75" customHeight="1">
      <c r="A213" s="439">
        <v>7</v>
      </c>
      <c r="B213" s="440" t="s">
        <v>348</v>
      </c>
      <c r="C213" s="440" t="s">
        <v>357</v>
      </c>
      <c r="D213" s="333">
        <v>2</v>
      </c>
      <c r="E213" s="454" t="s">
        <v>350</v>
      </c>
      <c r="F213" s="454" t="s">
        <v>348</v>
      </c>
      <c r="G213" s="455">
        <v>5</v>
      </c>
      <c r="H213" s="455">
        <v>1</v>
      </c>
      <c r="I213" s="454" t="s">
        <v>350</v>
      </c>
      <c r="J213" s="378" t="s">
        <v>348</v>
      </c>
      <c r="K213" s="363"/>
      <c r="L213" s="363"/>
      <c r="M213" s="376"/>
      <c r="N213" s="374" t="s">
        <v>378</v>
      </c>
      <c r="O213" s="305">
        <f>O214</f>
        <v>66801400</v>
      </c>
      <c r="P213" s="305">
        <f>P214</f>
        <v>62574400</v>
      </c>
      <c r="Q213" s="305">
        <f>Q214</f>
        <v>0</v>
      </c>
      <c r="R213" s="305">
        <f t="shared" si="56"/>
        <v>62574400</v>
      </c>
      <c r="S213" s="305">
        <f>S214</f>
        <v>62574400</v>
      </c>
      <c r="T213" s="305">
        <f>T214</f>
        <v>-255000</v>
      </c>
      <c r="U213" s="305">
        <f t="shared" si="57"/>
        <v>62319400</v>
      </c>
      <c r="V213" s="305">
        <f t="shared" si="58"/>
        <v>4482000</v>
      </c>
      <c r="W213" s="305"/>
      <c r="X213" s="305">
        <f t="shared" si="62"/>
        <v>255000</v>
      </c>
      <c r="Y213" s="307">
        <f t="shared" si="59"/>
        <v>0.93290559778687276</v>
      </c>
    </row>
    <row r="214" spans="1:29" s="284" customFormat="1" ht="39.75" customHeight="1">
      <c r="A214" s="439">
        <v>7</v>
      </c>
      <c r="B214" s="440" t="s">
        <v>348</v>
      </c>
      <c r="C214" s="440" t="s">
        <v>357</v>
      </c>
      <c r="D214" s="333">
        <v>2</v>
      </c>
      <c r="E214" s="454" t="s">
        <v>350</v>
      </c>
      <c r="F214" s="454" t="s">
        <v>348</v>
      </c>
      <c r="G214" s="455">
        <v>5</v>
      </c>
      <c r="H214" s="455">
        <v>1</v>
      </c>
      <c r="I214" s="454" t="s">
        <v>350</v>
      </c>
      <c r="J214" s="378" t="s">
        <v>348</v>
      </c>
      <c r="K214" s="378" t="s">
        <v>348</v>
      </c>
      <c r="L214" s="379"/>
      <c r="M214" s="380"/>
      <c r="N214" s="374" t="s">
        <v>379</v>
      </c>
      <c r="O214" s="305">
        <f>SUM(O215:O220)</f>
        <v>66801400</v>
      </c>
      <c r="P214" s="305">
        <f>SUM(P215:P220)</f>
        <v>62574400</v>
      </c>
      <c r="Q214" s="305">
        <f>SUM(Q215:Q220)</f>
        <v>0</v>
      </c>
      <c r="R214" s="305">
        <f t="shared" si="56"/>
        <v>62574400</v>
      </c>
      <c r="S214" s="305">
        <f>SUM(S215:S220)</f>
        <v>62574400</v>
      </c>
      <c r="T214" s="305">
        <f>SUM(T215:T220)</f>
        <v>-255000</v>
      </c>
      <c r="U214" s="305">
        <f t="shared" si="57"/>
        <v>62319400</v>
      </c>
      <c r="V214" s="305">
        <f t="shared" si="58"/>
        <v>4482000</v>
      </c>
      <c r="W214" s="305"/>
      <c r="X214" s="305">
        <f t="shared" si="62"/>
        <v>255000</v>
      </c>
      <c r="Y214" s="307">
        <f t="shared" si="59"/>
        <v>0.93290559778687276</v>
      </c>
    </row>
    <row r="215" spans="1:29" s="284" customFormat="1" ht="39.75" customHeight="1">
      <c r="A215" s="441">
        <v>7</v>
      </c>
      <c r="B215" s="442" t="s">
        <v>348</v>
      </c>
      <c r="C215" s="442" t="s">
        <v>357</v>
      </c>
      <c r="D215" s="349">
        <v>2</v>
      </c>
      <c r="E215" s="458" t="s">
        <v>350</v>
      </c>
      <c r="F215" s="458" t="s">
        <v>348</v>
      </c>
      <c r="G215" s="456">
        <v>5</v>
      </c>
      <c r="H215" s="456">
        <v>1</v>
      </c>
      <c r="I215" s="458" t="s">
        <v>350</v>
      </c>
      <c r="J215" s="361" t="s">
        <v>348</v>
      </c>
      <c r="K215" s="361" t="s">
        <v>348</v>
      </c>
      <c r="L215" s="361" t="s">
        <v>384</v>
      </c>
      <c r="M215" s="376">
        <v>4</v>
      </c>
      <c r="N215" s="351" t="s">
        <v>385</v>
      </c>
      <c r="O215" s="353">
        <f>'[8]SPJ FUNGSIONAL '!O221</f>
        <v>10254000</v>
      </c>
      <c r="P215" s="353">
        <f t="shared" ref="P215:Q220" si="70">S215</f>
        <v>10148000</v>
      </c>
      <c r="Q215" s="353">
        <f t="shared" si="70"/>
        <v>0</v>
      </c>
      <c r="R215" s="353">
        <f t="shared" si="56"/>
        <v>10148000</v>
      </c>
      <c r="S215" s="353">
        <f>'[8]SPJ FUNGSIONAL '!V221</f>
        <v>10148000</v>
      </c>
      <c r="T215" s="353">
        <f>'[8]SPJ FUNGSIONAL '!W221</f>
        <v>0</v>
      </c>
      <c r="U215" s="353">
        <f t="shared" si="57"/>
        <v>10148000</v>
      </c>
      <c r="V215" s="353">
        <f t="shared" si="58"/>
        <v>106000</v>
      </c>
      <c r="W215" s="353"/>
      <c r="X215" s="353">
        <f t="shared" si="62"/>
        <v>0</v>
      </c>
      <c r="Y215" s="354">
        <f t="shared" si="59"/>
        <v>0.98966257070411545</v>
      </c>
    </row>
    <row r="216" spans="1:29" s="284" customFormat="1" ht="39.75" customHeight="1">
      <c r="A216" s="441">
        <v>7</v>
      </c>
      <c r="B216" s="442" t="s">
        <v>348</v>
      </c>
      <c r="C216" s="442" t="s">
        <v>357</v>
      </c>
      <c r="D216" s="349">
        <v>2</v>
      </c>
      <c r="E216" s="458" t="s">
        <v>350</v>
      </c>
      <c r="F216" s="458" t="s">
        <v>348</v>
      </c>
      <c r="G216" s="456">
        <v>5</v>
      </c>
      <c r="H216" s="456">
        <v>1</v>
      </c>
      <c r="I216" s="458" t="s">
        <v>350</v>
      </c>
      <c r="J216" s="361" t="s">
        <v>348</v>
      </c>
      <c r="K216" s="361" t="s">
        <v>348</v>
      </c>
      <c r="L216" s="361" t="s">
        <v>384</v>
      </c>
      <c r="M216" s="413" t="s">
        <v>339</v>
      </c>
      <c r="N216" s="367" t="s">
        <v>386</v>
      </c>
      <c r="O216" s="353">
        <f>'[8]SPJ FUNGSIONAL '!O222</f>
        <v>767000</v>
      </c>
      <c r="P216" s="353">
        <f t="shared" si="70"/>
        <v>739000</v>
      </c>
      <c r="Q216" s="353">
        <f t="shared" si="70"/>
        <v>0</v>
      </c>
      <c r="R216" s="353">
        <f t="shared" si="56"/>
        <v>739000</v>
      </c>
      <c r="S216" s="353">
        <f>'[8]SPJ FUNGSIONAL '!V222</f>
        <v>739000</v>
      </c>
      <c r="T216" s="353">
        <f>'[8]SPJ FUNGSIONAL '!W222</f>
        <v>0</v>
      </c>
      <c r="U216" s="353">
        <f t="shared" si="57"/>
        <v>739000</v>
      </c>
      <c r="V216" s="353">
        <f t="shared" si="58"/>
        <v>28000</v>
      </c>
      <c r="W216" s="353">
        <f t="shared" si="68"/>
        <v>0</v>
      </c>
      <c r="X216" s="353">
        <f t="shared" si="62"/>
        <v>0</v>
      </c>
      <c r="Y216" s="354">
        <f t="shared" si="59"/>
        <v>0.96349413298565845</v>
      </c>
    </row>
    <row r="217" spans="1:29" s="284" customFormat="1" ht="39.75" customHeight="1">
      <c r="A217" s="441">
        <v>7</v>
      </c>
      <c r="B217" s="442" t="s">
        <v>348</v>
      </c>
      <c r="C217" s="442" t="s">
        <v>357</v>
      </c>
      <c r="D217" s="349">
        <v>2</v>
      </c>
      <c r="E217" s="458" t="s">
        <v>350</v>
      </c>
      <c r="F217" s="458" t="s">
        <v>348</v>
      </c>
      <c r="G217" s="456">
        <v>5</v>
      </c>
      <c r="H217" s="456">
        <v>1</v>
      </c>
      <c r="I217" s="458" t="s">
        <v>350</v>
      </c>
      <c r="J217" s="361" t="s">
        <v>348</v>
      </c>
      <c r="K217" s="361" t="s">
        <v>348</v>
      </c>
      <c r="L217" s="361" t="s">
        <v>384</v>
      </c>
      <c r="M217" s="376">
        <v>6</v>
      </c>
      <c r="N217" s="351" t="s">
        <v>490</v>
      </c>
      <c r="O217" s="353">
        <f>'[8]SPJ FUNGSIONAL '!O223</f>
        <v>5953400</v>
      </c>
      <c r="P217" s="353">
        <f t="shared" si="70"/>
        <v>4919550</v>
      </c>
      <c r="Q217" s="353">
        <v>0</v>
      </c>
      <c r="R217" s="353">
        <f t="shared" si="56"/>
        <v>4919550</v>
      </c>
      <c r="S217" s="353">
        <f>'[8]SPJ FUNGSIONAL '!V223</f>
        <v>4919550</v>
      </c>
      <c r="T217" s="373">
        <f>'[8]SPJ FUNGSIONAL '!W223</f>
        <v>-255000</v>
      </c>
      <c r="U217" s="353">
        <f t="shared" si="57"/>
        <v>4664550</v>
      </c>
      <c r="V217" s="353">
        <f t="shared" si="58"/>
        <v>1288850</v>
      </c>
      <c r="W217" s="353"/>
      <c r="X217" s="353">
        <f t="shared" si="62"/>
        <v>255000</v>
      </c>
      <c r="Y217" s="354">
        <f t="shared" si="59"/>
        <v>0.783510263042967</v>
      </c>
    </row>
    <row r="218" spans="1:29" s="284" customFormat="1" ht="39.75" customHeight="1">
      <c r="A218" s="441">
        <v>7</v>
      </c>
      <c r="B218" s="442" t="s">
        <v>348</v>
      </c>
      <c r="C218" s="442" t="s">
        <v>357</v>
      </c>
      <c r="D218" s="349">
        <v>2</v>
      </c>
      <c r="E218" s="458" t="s">
        <v>350</v>
      </c>
      <c r="F218" s="458" t="s">
        <v>348</v>
      </c>
      <c r="G218" s="456">
        <v>5</v>
      </c>
      <c r="H218" s="456">
        <v>1</v>
      </c>
      <c r="I218" s="458" t="s">
        <v>350</v>
      </c>
      <c r="J218" s="361" t="s">
        <v>348</v>
      </c>
      <c r="K218" s="361" t="s">
        <v>348</v>
      </c>
      <c r="L218" s="361" t="s">
        <v>384</v>
      </c>
      <c r="M218" s="376">
        <v>9</v>
      </c>
      <c r="N218" s="367" t="s">
        <v>491</v>
      </c>
      <c r="O218" s="353">
        <f>'[8]SPJ FUNGSIONAL '!O224</f>
        <v>632000</v>
      </c>
      <c r="P218" s="353">
        <f t="shared" si="70"/>
        <v>632000</v>
      </c>
      <c r="Q218" s="353">
        <f t="shared" si="70"/>
        <v>0</v>
      </c>
      <c r="R218" s="353">
        <f t="shared" si="56"/>
        <v>632000</v>
      </c>
      <c r="S218" s="353">
        <f>'[8]SPJ FUNGSIONAL '!V224</f>
        <v>632000</v>
      </c>
      <c r="T218" s="353">
        <f>'[8]SPJ FUNGSIONAL '!W224</f>
        <v>0</v>
      </c>
      <c r="U218" s="353">
        <f t="shared" si="57"/>
        <v>632000</v>
      </c>
      <c r="V218" s="353">
        <f t="shared" si="58"/>
        <v>0</v>
      </c>
      <c r="W218" s="353">
        <f t="shared" si="68"/>
        <v>0</v>
      </c>
      <c r="X218" s="353">
        <f t="shared" si="62"/>
        <v>0</v>
      </c>
      <c r="Y218" s="354">
        <f t="shared" si="59"/>
        <v>1</v>
      </c>
    </row>
    <row r="219" spans="1:29" s="284" customFormat="1" ht="39.75" customHeight="1">
      <c r="A219" s="441">
        <v>7</v>
      </c>
      <c r="B219" s="442" t="s">
        <v>348</v>
      </c>
      <c r="C219" s="442" t="s">
        <v>357</v>
      </c>
      <c r="D219" s="349">
        <v>2</v>
      </c>
      <c r="E219" s="458" t="s">
        <v>350</v>
      </c>
      <c r="F219" s="458" t="s">
        <v>348</v>
      </c>
      <c r="G219" s="456">
        <v>5</v>
      </c>
      <c r="H219" s="456">
        <v>1</v>
      </c>
      <c r="I219" s="458" t="s">
        <v>350</v>
      </c>
      <c r="J219" s="361" t="s">
        <v>348</v>
      </c>
      <c r="K219" s="361" t="s">
        <v>348</v>
      </c>
      <c r="L219" s="361" t="s">
        <v>393</v>
      </c>
      <c r="M219" s="376">
        <v>2</v>
      </c>
      <c r="N219" s="351" t="s">
        <v>492</v>
      </c>
      <c r="O219" s="353">
        <f>'[8]SPJ FUNGSIONAL '!O225</f>
        <v>10175000</v>
      </c>
      <c r="P219" s="353">
        <f t="shared" si="70"/>
        <v>9257850</v>
      </c>
      <c r="Q219" s="353">
        <f t="shared" si="70"/>
        <v>0</v>
      </c>
      <c r="R219" s="353">
        <f t="shared" ref="R219:R282" si="71">P219+Q219</f>
        <v>9257850</v>
      </c>
      <c r="S219" s="353">
        <f>'[8]SPJ FUNGSIONAL '!V225</f>
        <v>9257850</v>
      </c>
      <c r="T219" s="353">
        <f>'[8]SPJ FUNGSIONAL '!W225</f>
        <v>0</v>
      </c>
      <c r="U219" s="353">
        <f t="shared" ref="U219:U282" si="72">S219+T219</f>
        <v>9257850</v>
      </c>
      <c r="V219" s="353">
        <f t="shared" ref="V219:V282" si="73">O219-U219</f>
        <v>917150</v>
      </c>
      <c r="W219" s="353"/>
      <c r="X219" s="353">
        <f t="shared" si="62"/>
        <v>0</v>
      </c>
      <c r="Y219" s="354">
        <f t="shared" ref="Y219:Y241" si="74">U219/O219*100%</f>
        <v>0.90986240786240791</v>
      </c>
    </row>
    <row r="220" spans="1:29" s="284" customFormat="1" ht="39.75" customHeight="1">
      <c r="A220" s="441">
        <v>7</v>
      </c>
      <c r="B220" s="442" t="s">
        <v>348</v>
      </c>
      <c r="C220" s="442" t="s">
        <v>357</v>
      </c>
      <c r="D220" s="349">
        <v>2</v>
      </c>
      <c r="E220" s="458" t="s">
        <v>350</v>
      </c>
      <c r="F220" s="458" t="s">
        <v>348</v>
      </c>
      <c r="G220" s="456">
        <v>5</v>
      </c>
      <c r="H220" s="456">
        <v>1</v>
      </c>
      <c r="I220" s="458" t="s">
        <v>350</v>
      </c>
      <c r="J220" s="361" t="s">
        <v>348</v>
      </c>
      <c r="K220" s="361" t="s">
        <v>348</v>
      </c>
      <c r="L220" s="361" t="s">
        <v>393</v>
      </c>
      <c r="M220" s="376">
        <v>8</v>
      </c>
      <c r="N220" s="351" t="s">
        <v>493</v>
      </c>
      <c r="O220" s="353">
        <f>'[8]SPJ FUNGSIONAL '!O226</f>
        <v>39020000</v>
      </c>
      <c r="P220" s="353">
        <f t="shared" si="70"/>
        <v>36878000</v>
      </c>
      <c r="Q220" s="353">
        <f t="shared" si="70"/>
        <v>0</v>
      </c>
      <c r="R220" s="353">
        <f t="shared" si="71"/>
        <v>36878000</v>
      </c>
      <c r="S220" s="353">
        <f>'[8]SPJ FUNGSIONAL '!V226</f>
        <v>36878000</v>
      </c>
      <c r="T220" s="353">
        <f>'[8]SPJ FUNGSIONAL '!W226</f>
        <v>0</v>
      </c>
      <c r="U220" s="353">
        <f t="shared" si="72"/>
        <v>36878000</v>
      </c>
      <c r="V220" s="353">
        <f t="shared" si="73"/>
        <v>2142000</v>
      </c>
      <c r="W220" s="353"/>
      <c r="X220" s="353">
        <f t="shared" si="62"/>
        <v>0</v>
      </c>
      <c r="Y220" s="354">
        <f t="shared" si="74"/>
        <v>0.9451050743208611</v>
      </c>
    </row>
    <row r="221" spans="1:29" s="284" customFormat="1" ht="39.75" customHeight="1">
      <c r="A221" s="439">
        <v>7</v>
      </c>
      <c r="B221" s="440" t="s">
        <v>348</v>
      </c>
      <c r="C221" s="440" t="s">
        <v>357</v>
      </c>
      <c r="D221" s="333">
        <v>2</v>
      </c>
      <c r="E221" s="454" t="s">
        <v>350</v>
      </c>
      <c r="F221" s="454" t="s">
        <v>348</v>
      </c>
      <c r="G221" s="455">
        <v>5</v>
      </c>
      <c r="H221" s="455">
        <v>1</v>
      </c>
      <c r="I221" s="454" t="s">
        <v>350</v>
      </c>
      <c r="J221" s="378" t="s">
        <v>350</v>
      </c>
      <c r="K221" s="363"/>
      <c r="L221" s="363"/>
      <c r="M221" s="376"/>
      <c r="N221" s="374" t="s">
        <v>391</v>
      </c>
      <c r="O221" s="305">
        <f>O222+O226</f>
        <v>54380000</v>
      </c>
      <c r="P221" s="305">
        <f>P222</f>
        <v>54380000</v>
      </c>
      <c r="Q221" s="305">
        <f>Q222</f>
        <v>0</v>
      </c>
      <c r="R221" s="305">
        <f>P221+Q221</f>
        <v>54380000</v>
      </c>
      <c r="S221" s="305">
        <f>S222</f>
        <v>54380000</v>
      </c>
      <c r="T221" s="305">
        <f>T222</f>
        <v>0</v>
      </c>
      <c r="U221" s="305">
        <f t="shared" si="72"/>
        <v>54380000</v>
      </c>
      <c r="V221" s="305">
        <f t="shared" si="73"/>
        <v>0</v>
      </c>
      <c r="W221" s="305"/>
      <c r="X221" s="305">
        <f t="shared" si="62"/>
        <v>0</v>
      </c>
      <c r="Y221" s="307">
        <f t="shared" si="74"/>
        <v>1</v>
      </c>
    </row>
    <row r="222" spans="1:29" s="284" customFormat="1" ht="39.75" customHeight="1">
      <c r="A222" s="439">
        <v>7</v>
      </c>
      <c r="B222" s="440" t="s">
        <v>348</v>
      </c>
      <c r="C222" s="440" t="s">
        <v>357</v>
      </c>
      <c r="D222" s="333">
        <v>2</v>
      </c>
      <c r="E222" s="454" t="s">
        <v>350</v>
      </c>
      <c r="F222" s="454" t="s">
        <v>348</v>
      </c>
      <c r="G222" s="455">
        <v>5</v>
      </c>
      <c r="H222" s="455">
        <v>1</v>
      </c>
      <c r="I222" s="454" t="s">
        <v>350</v>
      </c>
      <c r="J222" s="378" t="s">
        <v>350</v>
      </c>
      <c r="K222" s="378" t="s">
        <v>348</v>
      </c>
      <c r="L222" s="379"/>
      <c r="M222" s="380"/>
      <c r="N222" s="374" t="s">
        <v>459</v>
      </c>
      <c r="O222" s="305">
        <f>SUM(O223:O225)</f>
        <v>54380000</v>
      </c>
      <c r="P222" s="305">
        <f>SUM(P223:P225)</f>
        <v>54380000</v>
      </c>
      <c r="Q222" s="305">
        <f>SUM(Q223:Q225)</f>
        <v>0</v>
      </c>
      <c r="R222" s="305">
        <f>P222+Q222</f>
        <v>54380000</v>
      </c>
      <c r="S222" s="305">
        <f>SUM(S223:S225)</f>
        <v>54380000</v>
      </c>
      <c r="T222" s="305">
        <f>SUM(T223:T225)</f>
        <v>0</v>
      </c>
      <c r="U222" s="305">
        <f>S222+T222</f>
        <v>54380000</v>
      </c>
      <c r="V222" s="305">
        <f t="shared" si="73"/>
        <v>0</v>
      </c>
      <c r="W222" s="305"/>
      <c r="X222" s="305">
        <f t="shared" si="62"/>
        <v>0</v>
      </c>
      <c r="Y222" s="307">
        <f t="shared" si="74"/>
        <v>1</v>
      </c>
    </row>
    <row r="223" spans="1:29" s="284" customFormat="1" ht="39.75" customHeight="1">
      <c r="A223" s="441">
        <v>7</v>
      </c>
      <c r="B223" s="442" t="s">
        <v>348</v>
      </c>
      <c r="C223" s="442" t="s">
        <v>357</v>
      </c>
      <c r="D223" s="349">
        <v>2</v>
      </c>
      <c r="E223" s="348" t="s">
        <v>350</v>
      </c>
      <c r="F223" s="348" t="s">
        <v>348</v>
      </c>
      <c r="G223" s="349">
        <v>5</v>
      </c>
      <c r="H223" s="349">
        <v>1</v>
      </c>
      <c r="I223" s="348" t="s">
        <v>350</v>
      </c>
      <c r="J223" s="361" t="s">
        <v>350</v>
      </c>
      <c r="K223" s="361" t="s">
        <v>348</v>
      </c>
      <c r="L223" s="361" t="s">
        <v>354</v>
      </c>
      <c r="M223" s="376">
        <v>3</v>
      </c>
      <c r="N223" s="367" t="s">
        <v>475</v>
      </c>
      <c r="O223" s="353">
        <f>'[8]SPJ FUNGSIONAL '!O229</f>
        <v>1500000</v>
      </c>
      <c r="P223" s="353">
        <f t="shared" ref="P223:Q225" si="75">S223</f>
        <v>1500000</v>
      </c>
      <c r="Q223" s="353">
        <f t="shared" si="75"/>
        <v>0</v>
      </c>
      <c r="R223" s="353">
        <f t="shared" si="71"/>
        <v>1500000</v>
      </c>
      <c r="S223" s="353">
        <f>'[8]SPJ FUNGSIONAL '!V229</f>
        <v>1500000</v>
      </c>
      <c r="T223" s="353">
        <f>'[8]SPJ FUNGSIONAL '!W229</f>
        <v>0</v>
      </c>
      <c r="U223" s="353">
        <f t="shared" si="72"/>
        <v>1500000</v>
      </c>
      <c r="V223" s="353">
        <f t="shared" si="73"/>
        <v>0</v>
      </c>
      <c r="W223" s="353"/>
      <c r="X223" s="353">
        <f t="shared" si="62"/>
        <v>0</v>
      </c>
      <c r="Y223" s="354">
        <f t="shared" si="74"/>
        <v>1</v>
      </c>
    </row>
    <row r="224" spans="1:29" s="284" customFormat="1" ht="39.75" customHeight="1">
      <c r="A224" s="450">
        <v>7</v>
      </c>
      <c r="B224" s="451" t="s">
        <v>348</v>
      </c>
      <c r="C224" s="451" t="s">
        <v>357</v>
      </c>
      <c r="D224" s="407">
        <v>2</v>
      </c>
      <c r="E224" s="408" t="s">
        <v>350</v>
      </c>
      <c r="F224" s="408" t="s">
        <v>348</v>
      </c>
      <c r="G224" s="407">
        <v>5</v>
      </c>
      <c r="H224" s="407">
        <v>1</v>
      </c>
      <c r="I224" s="408" t="s">
        <v>350</v>
      </c>
      <c r="J224" s="406" t="s">
        <v>350</v>
      </c>
      <c r="K224" s="406" t="s">
        <v>348</v>
      </c>
      <c r="L224" s="406" t="s">
        <v>354</v>
      </c>
      <c r="M224" s="403">
        <v>4</v>
      </c>
      <c r="N224" s="412" t="s">
        <v>494</v>
      </c>
      <c r="O224" s="353">
        <f>'[8]SPJ FUNGSIONAL '!O230</f>
        <v>880000</v>
      </c>
      <c r="P224" s="353">
        <f t="shared" si="75"/>
        <v>880000</v>
      </c>
      <c r="Q224" s="353">
        <f t="shared" si="75"/>
        <v>0</v>
      </c>
      <c r="R224" s="353">
        <f>SUM(P224:Q224)</f>
        <v>880000</v>
      </c>
      <c r="S224" s="353">
        <f>'[8]SPJ FUNGSIONAL '!X230</f>
        <v>880000</v>
      </c>
      <c r="T224" s="353">
        <f>'[8]SPJ FUNGSIONAL '!W230</f>
        <v>0</v>
      </c>
      <c r="U224" s="353">
        <f>SUM(S224:T224)</f>
        <v>880000</v>
      </c>
      <c r="V224" s="353">
        <f t="shared" si="73"/>
        <v>0</v>
      </c>
      <c r="W224" s="353"/>
      <c r="X224" s="353">
        <f t="shared" si="62"/>
        <v>0</v>
      </c>
      <c r="Y224" s="354">
        <f t="shared" si="74"/>
        <v>1</v>
      </c>
      <c r="AC224" s="284">
        <v>18241476156</v>
      </c>
    </row>
    <row r="225" spans="1:29" s="284" customFormat="1" ht="39.75" customHeight="1">
      <c r="A225" s="450">
        <v>7</v>
      </c>
      <c r="B225" s="451" t="s">
        <v>348</v>
      </c>
      <c r="C225" s="451" t="s">
        <v>357</v>
      </c>
      <c r="D225" s="407">
        <v>2</v>
      </c>
      <c r="E225" s="408" t="s">
        <v>350</v>
      </c>
      <c r="F225" s="408" t="s">
        <v>348</v>
      </c>
      <c r="G225" s="407">
        <v>5</v>
      </c>
      <c r="H225" s="407">
        <v>1</v>
      </c>
      <c r="I225" s="408" t="s">
        <v>350</v>
      </c>
      <c r="J225" s="406" t="s">
        <v>350</v>
      </c>
      <c r="K225" s="406" t="s">
        <v>348</v>
      </c>
      <c r="L225" s="406" t="s">
        <v>354</v>
      </c>
      <c r="M225" s="403">
        <v>6</v>
      </c>
      <c r="N225" s="412" t="s">
        <v>495</v>
      </c>
      <c r="O225" s="353">
        <f>'[8]SPJ FUNGSIONAL '!O231</f>
        <v>52000000</v>
      </c>
      <c r="P225" s="353">
        <f t="shared" si="75"/>
        <v>52000000</v>
      </c>
      <c r="Q225" s="353">
        <f t="shared" si="75"/>
        <v>0</v>
      </c>
      <c r="R225" s="353">
        <f t="shared" si="71"/>
        <v>52000000</v>
      </c>
      <c r="S225" s="353">
        <f>'[8]SPJ FUNGSIONAL '!V231</f>
        <v>52000000</v>
      </c>
      <c r="T225" s="353">
        <f>'[8]SPJ FUNGSIONAL '!W231</f>
        <v>0</v>
      </c>
      <c r="U225" s="353">
        <f>SUM(S225:T225)</f>
        <v>52000000</v>
      </c>
      <c r="V225" s="353"/>
      <c r="W225" s="353"/>
      <c r="X225" s="353"/>
      <c r="Y225" s="354">
        <f t="shared" si="74"/>
        <v>1</v>
      </c>
      <c r="AC225" s="318">
        <f>R15</f>
        <v>18593156355</v>
      </c>
    </row>
    <row r="226" spans="1:29" s="288" customFormat="1" ht="39.75" customHeight="1">
      <c r="A226" s="459">
        <v>7</v>
      </c>
      <c r="B226" s="460" t="s">
        <v>348</v>
      </c>
      <c r="C226" s="460" t="s">
        <v>357</v>
      </c>
      <c r="D226" s="388">
        <v>2</v>
      </c>
      <c r="E226" s="461" t="s">
        <v>350</v>
      </c>
      <c r="F226" s="461" t="s">
        <v>348</v>
      </c>
      <c r="G226" s="462">
        <v>5</v>
      </c>
      <c r="H226" s="462">
        <v>1</v>
      </c>
      <c r="I226" s="461" t="s">
        <v>350</v>
      </c>
      <c r="J226" s="401" t="s">
        <v>350</v>
      </c>
      <c r="K226" s="401" t="s">
        <v>382</v>
      </c>
      <c r="L226" s="463"/>
      <c r="M226" s="464"/>
      <c r="N226" s="410" t="s">
        <v>496</v>
      </c>
      <c r="O226" s="465">
        <f>O227</f>
        <v>0</v>
      </c>
      <c r="P226" s="305">
        <f>P227</f>
        <v>0</v>
      </c>
      <c r="Q226" s="305"/>
      <c r="R226" s="305"/>
      <c r="S226" s="305"/>
      <c r="T226" s="305"/>
      <c r="U226" s="305"/>
      <c r="V226" s="305"/>
      <c r="W226" s="305"/>
      <c r="X226" s="305"/>
      <c r="Y226" s="307">
        <v>0</v>
      </c>
      <c r="AC226" s="466">
        <f>AC224-AC225</f>
        <v>-351680199</v>
      </c>
    </row>
    <row r="227" spans="1:29" s="284" customFormat="1" ht="39.75" customHeight="1">
      <c r="A227" s="450">
        <v>7</v>
      </c>
      <c r="B227" s="451" t="s">
        <v>348</v>
      </c>
      <c r="C227" s="451" t="s">
        <v>357</v>
      </c>
      <c r="D227" s="407">
        <v>2</v>
      </c>
      <c r="E227" s="467" t="s">
        <v>350</v>
      </c>
      <c r="F227" s="467" t="s">
        <v>348</v>
      </c>
      <c r="G227" s="468">
        <v>5</v>
      </c>
      <c r="H227" s="468">
        <v>1</v>
      </c>
      <c r="I227" s="467" t="s">
        <v>350</v>
      </c>
      <c r="J227" s="406" t="s">
        <v>350</v>
      </c>
      <c r="K227" s="406" t="s">
        <v>382</v>
      </c>
      <c r="L227" s="406" t="s">
        <v>444</v>
      </c>
      <c r="M227" s="403">
        <v>7</v>
      </c>
      <c r="N227" s="469" t="s">
        <v>497</v>
      </c>
      <c r="O227" s="470">
        <f>'[8]SPJ FUNGSIONAL '!O233</f>
        <v>0</v>
      </c>
      <c r="P227" s="353">
        <f>'[10]LRA SP2D'!$U$226</f>
        <v>0</v>
      </c>
      <c r="Q227" s="353">
        <f>T227</f>
        <v>0</v>
      </c>
      <c r="R227" s="353">
        <f t="shared" si="71"/>
        <v>0</v>
      </c>
      <c r="S227" s="353">
        <f>'[8]SPJ FUNGSIONAL '!V233</f>
        <v>0</v>
      </c>
      <c r="T227" s="353">
        <f>'[8]SPJ FUNGSIONAL '!W233</f>
        <v>0</v>
      </c>
      <c r="U227" s="353">
        <f t="shared" si="72"/>
        <v>0</v>
      </c>
      <c r="V227" s="353">
        <f t="shared" si="73"/>
        <v>0</v>
      </c>
      <c r="W227" s="353"/>
      <c r="X227" s="353">
        <f t="shared" si="62"/>
        <v>0</v>
      </c>
      <c r="Y227" s="354">
        <v>0</v>
      </c>
    </row>
    <row r="228" spans="1:29" s="284" customFormat="1" ht="25" customHeight="1">
      <c r="A228" s="471"/>
      <c r="B228" s="472"/>
      <c r="C228" s="472"/>
      <c r="D228" s="349"/>
      <c r="E228" s="349"/>
      <c r="F228" s="349"/>
      <c r="G228" s="349"/>
      <c r="H228" s="349"/>
      <c r="I228" s="349"/>
      <c r="J228" s="363"/>
      <c r="K228" s="473"/>
      <c r="L228" s="473"/>
      <c r="M228" s="474"/>
      <c r="N228" s="475"/>
      <c r="O228" s="470">
        <f>524180800-O230</f>
        <v>0</v>
      </c>
      <c r="P228" s="353"/>
      <c r="Q228" s="353"/>
      <c r="R228" s="353"/>
      <c r="S228" s="353"/>
      <c r="T228" s="353"/>
      <c r="U228" s="353"/>
      <c r="V228" s="353"/>
      <c r="W228" s="353"/>
      <c r="X228" s="353"/>
      <c r="Y228" s="354"/>
    </row>
    <row r="229" spans="1:29" s="284" customFormat="1" ht="48.75" customHeight="1">
      <c r="A229" s="433">
        <v>7</v>
      </c>
      <c r="B229" s="434" t="s">
        <v>348</v>
      </c>
      <c r="C229" s="434" t="s">
        <v>357</v>
      </c>
      <c r="D229" s="340">
        <v>2</v>
      </c>
      <c r="E229" s="435" t="s">
        <v>350</v>
      </c>
      <c r="F229" s="435" t="s">
        <v>357</v>
      </c>
      <c r="G229" s="437"/>
      <c r="H229" s="437"/>
      <c r="I229" s="437"/>
      <c r="J229" s="437"/>
      <c r="K229" s="437"/>
      <c r="L229" s="437"/>
      <c r="M229" s="438"/>
      <c r="N229" s="449" t="s">
        <v>498</v>
      </c>
      <c r="O229" s="343">
        <f>O230</f>
        <v>524180800</v>
      </c>
      <c r="P229" s="343">
        <f>P230</f>
        <v>265888880</v>
      </c>
      <c r="Q229" s="343">
        <f t="shared" ref="Q229:V229" si="76">Q230</f>
        <v>183637301</v>
      </c>
      <c r="R229" s="343">
        <f t="shared" si="76"/>
        <v>449526181</v>
      </c>
      <c r="S229" s="343">
        <f t="shared" si="76"/>
        <v>348532430</v>
      </c>
      <c r="T229" s="343">
        <f t="shared" si="76"/>
        <v>124063551</v>
      </c>
      <c r="U229" s="343">
        <f t="shared" si="76"/>
        <v>472595981</v>
      </c>
      <c r="V229" s="343">
        <f t="shared" si="76"/>
        <v>51584819</v>
      </c>
      <c r="W229" s="344"/>
      <c r="X229" s="344">
        <f t="shared" si="62"/>
        <v>-23069800</v>
      </c>
      <c r="Y229" s="371">
        <f t="shared" si="74"/>
        <v>0.90158964426014843</v>
      </c>
    </row>
    <row r="230" spans="1:29" s="284" customFormat="1" ht="39.75" customHeight="1">
      <c r="A230" s="439">
        <v>7</v>
      </c>
      <c r="B230" s="440" t="s">
        <v>348</v>
      </c>
      <c r="C230" s="440" t="s">
        <v>357</v>
      </c>
      <c r="D230" s="333">
        <v>2</v>
      </c>
      <c r="E230" s="454" t="s">
        <v>350</v>
      </c>
      <c r="F230" s="454" t="s">
        <v>357</v>
      </c>
      <c r="G230" s="455">
        <v>5</v>
      </c>
      <c r="H230" s="455">
        <v>1</v>
      </c>
      <c r="I230" s="454" t="s">
        <v>350</v>
      </c>
      <c r="J230" s="349"/>
      <c r="K230" s="349"/>
      <c r="L230" s="349"/>
      <c r="M230" s="350"/>
      <c r="N230" s="374" t="s">
        <v>489</v>
      </c>
      <c r="O230" s="465">
        <f>O231+O243+O250+O253+O257</f>
        <v>524180800</v>
      </c>
      <c r="P230" s="465">
        <f>P231+P243+P253+P257</f>
        <v>265888880</v>
      </c>
      <c r="Q230" s="465">
        <f>Q231+Q243+Q253+Q257</f>
        <v>183637301</v>
      </c>
      <c r="R230" s="465">
        <f>R231+R243+R253+R257</f>
        <v>449526181</v>
      </c>
      <c r="S230" s="465">
        <f>S231+S243+S253+S257</f>
        <v>348532430</v>
      </c>
      <c r="T230" s="465">
        <f t="shared" ref="T230:V230" si="77">T231+T243+T253+T257</f>
        <v>124063551</v>
      </c>
      <c r="U230" s="465">
        <f>U231+U243+U253+U257</f>
        <v>472595981</v>
      </c>
      <c r="V230" s="465">
        <f t="shared" si="77"/>
        <v>51584819</v>
      </c>
      <c r="W230" s="305"/>
      <c r="X230" s="305">
        <f t="shared" si="62"/>
        <v>-23069800</v>
      </c>
      <c r="Y230" s="307">
        <f t="shared" si="74"/>
        <v>0.90158964426014843</v>
      </c>
    </row>
    <row r="231" spans="1:29" s="284" customFormat="1" ht="39.75" customHeight="1">
      <c r="A231" s="439">
        <v>7</v>
      </c>
      <c r="B231" s="440" t="s">
        <v>348</v>
      </c>
      <c r="C231" s="440" t="s">
        <v>357</v>
      </c>
      <c r="D231" s="333">
        <v>2</v>
      </c>
      <c r="E231" s="454" t="s">
        <v>350</v>
      </c>
      <c r="F231" s="454" t="s">
        <v>357</v>
      </c>
      <c r="G231" s="455">
        <v>5</v>
      </c>
      <c r="H231" s="455">
        <v>1</v>
      </c>
      <c r="I231" s="454" t="s">
        <v>350</v>
      </c>
      <c r="J231" s="346" t="s">
        <v>348</v>
      </c>
      <c r="K231" s="349"/>
      <c r="L231" s="349"/>
      <c r="M231" s="350"/>
      <c r="N231" s="374" t="s">
        <v>398</v>
      </c>
      <c r="O231" s="465">
        <f>O232</f>
        <v>172311100</v>
      </c>
      <c r="P231" s="465">
        <f>P232</f>
        <v>81938400</v>
      </c>
      <c r="Q231" s="465">
        <f t="shared" ref="Q231:V231" si="78">Q232</f>
        <v>60021951</v>
      </c>
      <c r="R231" s="465">
        <f t="shared" si="78"/>
        <v>141960351</v>
      </c>
      <c r="S231" s="465">
        <f t="shared" si="78"/>
        <v>98251950</v>
      </c>
      <c r="T231" s="465">
        <f t="shared" si="78"/>
        <v>44128201</v>
      </c>
      <c r="U231" s="465">
        <f t="shared" si="78"/>
        <v>142380151</v>
      </c>
      <c r="V231" s="465">
        <f t="shared" si="78"/>
        <v>29930949</v>
      </c>
      <c r="W231" s="305"/>
      <c r="X231" s="305">
        <f t="shared" si="62"/>
        <v>-419800</v>
      </c>
      <c r="Y231" s="307">
        <f t="shared" si="74"/>
        <v>0.82629703483989136</v>
      </c>
    </row>
    <row r="232" spans="1:29" s="284" customFormat="1" ht="39.75" customHeight="1">
      <c r="A232" s="439">
        <v>7</v>
      </c>
      <c r="B232" s="440" t="s">
        <v>348</v>
      </c>
      <c r="C232" s="440" t="s">
        <v>357</v>
      </c>
      <c r="D232" s="333">
        <v>2</v>
      </c>
      <c r="E232" s="454" t="s">
        <v>350</v>
      </c>
      <c r="F232" s="454" t="s">
        <v>357</v>
      </c>
      <c r="G232" s="455">
        <v>5</v>
      </c>
      <c r="H232" s="455">
        <v>1</v>
      </c>
      <c r="I232" s="454" t="s">
        <v>350</v>
      </c>
      <c r="J232" s="346" t="s">
        <v>348</v>
      </c>
      <c r="K232" s="346" t="s">
        <v>348</v>
      </c>
      <c r="L232" s="473"/>
      <c r="M232" s="474"/>
      <c r="N232" s="476" t="s">
        <v>440</v>
      </c>
      <c r="O232" s="465">
        <f>SUM(O233:O242)</f>
        <v>172311100</v>
      </c>
      <c r="P232" s="465">
        <f>SUM(P233:P242)</f>
        <v>81938400</v>
      </c>
      <c r="Q232" s="465">
        <f>SUM(Q233:Q242)</f>
        <v>60021951</v>
      </c>
      <c r="R232" s="465">
        <f t="shared" ref="R232:V232" si="79">SUM(R233:R242)</f>
        <v>141960351</v>
      </c>
      <c r="S232" s="465">
        <f t="shared" si="79"/>
        <v>98251950</v>
      </c>
      <c r="T232" s="465">
        <f t="shared" si="79"/>
        <v>44128201</v>
      </c>
      <c r="U232" s="465">
        <f t="shared" si="79"/>
        <v>142380151</v>
      </c>
      <c r="V232" s="465">
        <f t="shared" si="79"/>
        <v>29930949</v>
      </c>
      <c r="W232" s="305"/>
      <c r="X232" s="305">
        <f t="shared" ref="X232:X295" si="80">R232-U232</f>
        <v>-419800</v>
      </c>
      <c r="Y232" s="307">
        <f t="shared" si="74"/>
        <v>0.82629703483989136</v>
      </c>
    </row>
    <row r="233" spans="1:29" s="284" customFormat="1" ht="39.75" customHeight="1">
      <c r="A233" s="450">
        <v>7</v>
      </c>
      <c r="B233" s="451" t="s">
        <v>348</v>
      </c>
      <c r="C233" s="451" t="s">
        <v>357</v>
      </c>
      <c r="D233" s="407">
        <v>2</v>
      </c>
      <c r="E233" s="467" t="s">
        <v>350</v>
      </c>
      <c r="F233" s="467" t="s">
        <v>357</v>
      </c>
      <c r="G233" s="468">
        <v>5</v>
      </c>
      <c r="H233" s="468">
        <v>1</v>
      </c>
      <c r="I233" s="467" t="s">
        <v>350</v>
      </c>
      <c r="J233" s="408" t="s">
        <v>348</v>
      </c>
      <c r="K233" s="408" t="s">
        <v>348</v>
      </c>
      <c r="L233" s="477" t="s">
        <v>442</v>
      </c>
      <c r="M233" s="478">
        <v>2</v>
      </c>
      <c r="N233" s="469" t="s">
        <v>467</v>
      </c>
      <c r="O233" s="470">
        <f>'[8]SPJ FUNGSIONAL '!O239</f>
        <v>36000000</v>
      </c>
      <c r="P233" s="353">
        <f>'[9]LRA SP2D'!$R$233</f>
        <v>27710000</v>
      </c>
      <c r="Q233" s="353">
        <v>4800000</v>
      </c>
      <c r="R233" s="353">
        <f t="shared" si="71"/>
        <v>32510000</v>
      </c>
      <c r="S233" s="353">
        <f>'[8]SPJ FUNGSIONAL '!V239</f>
        <v>32510000</v>
      </c>
      <c r="T233" s="353">
        <f>'[8]SPJ FUNGSIONAL '!W239</f>
        <v>0</v>
      </c>
      <c r="U233" s="353">
        <f t="shared" si="72"/>
        <v>32510000</v>
      </c>
      <c r="V233" s="353">
        <f t="shared" si="73"/>
        <v>3490000</v>
      </c>
      <c r="W233" s="353"/>
      <c r="X233" s="353">
        <f t="shared" si="80"/>
        <v>0</v>
      </c>
      <c r="Y233" s="354">
        <f t="shared" si="74"/>
        <v>0.9030555555555555</v>
      </c>
    </row>
    <row r="234" spans="1:29" s="284" customFormat="1" ht="39.75" customHeight="1">
      <c r="A234" s="441">
        <v>7</v>
      </c>
      <c r="B234" s="442" t="s">
        <v>348</v>
      </c>
      <c r="C234" s="442" t="s">
        <v>357</v>
      </c>
      <c r="D234" s="349">
        <v>2</v>
      </c>
      <c r="E234" s="458" t="s">
        <v>350</v>
      </c>
      <c r="F234" s="458" t="s">
        <v>357</v>
      </c>
      <c r="G234" s="456">
        <v>5</v>
      </c>
      <c r="H234" s="456">
        <v>1</v>
      </c>
      <c r="I234" s="458" t="s">
        <v>350</v>
      </c>
      <c r="J234" s="348" t="s">
        <v>348</v>
      </c>
      <c r="K234" s="348" t="s">
        <v>348</v>
      </c>
      <c r="L234" s="479" t="s">
        <v>384</v>
      </c>
      <c r="M234" s="474">
        <v>4</v>
      </c>
      <c r="N234" s="351" t="s">
        <v>499</v>
      </c>
      <c r="O234" s="470">
        <f>'[8]SPJ FUNGSIONAL '!O240</f>
        <v>20495050</v>
      </c>
      <c r="P234" s="353">
        <f>'[9]LRA SP2D'!$R$234</f>
        <v>15589000</v>
      </c>
      <c r="Q234" s="353">
        <f>3979050</f>
        <v>3979050</v>
      </c>
      <c r="R234" s="353">
        <f t="shared" si="71"/>
        <v>19568050</v>
      </c>
      <c r="S234" s="353">
        <f>'[8]SPJ FUNGSIONAL '!V240</f>
        <v>19568050</v>
      </c>
      <c r="T234" s="373">
        <f>'[8]SPJ FUNGSIONAL '!W240</f>
        <v>-97500</v>
      </c>
      <c r="U234" s="353">
        <f t="shared" si="72"/>
        <v>19470550</v>
      </c>
      <c r="V234" s="353">
        <f t="shared" si="73"/>
        <v>1024500</v>
      </c>
      <c r="W234" s="353"/>
      <c r="X234" s="353">
        <f t="shared" si="80"/>
        <v>97500</v>
      </c>
      <c r="Y234" s="354">
        <f t="shared" si="74"/>
        <v>0.95001232004801162</v>
      </c>
    </row>
    <row r="235" spans="1:29" s="284" customFormat="1" ht="39.75" customHeight="1">
      <c r="A235" s="441">
        <v>7</v>
      </c>
      <c r="B235" s="442" t="s">
        <v>348</v>
      </c>
      <c r="C235" s="442" t="s">
        <v>357</v>
      </c>
      <c r="D235" s="349">
        <v>2</v>
      </c>
      <c r="E235" s="458" t="s">
        <v>350</v>
      </c>
      <c r="F235" s="458" t="s">
        <v>357</v>
      </c>
      <c r="G235" s="456">
        <v>5</v>
      </c>
      <c r="H235" s="456">
        <v>1</v>
      </c>
      <c r="I235" s="458" t="s">
        <v>350</v>
      </c>
      <c r="J235" s="348" t="s">
        <v>348</v>
      </c>
      <c r="K235" s="348" t="s">
        <v>348</v>
      </c>
      <c r="L235" s="479" t="s">
        <v>384</v>
      </c>
      <c r="M235" s="474">
        <v>5</v>
      </c>
      <c r="N235" s="367" t="s">
        <v>500</v>
      </c>
      <c r="O235" s="470">
        <f>'[8]SPJ FUNGSIONAL '!O241</f>
        <v>1610000</v>
      </c>
      <c r="P235" s="353">
        <f>'[9]LRA SP2D'!$R$235</f>
        <v>763000</v>
      </c>
      <c r="Q235" s="353">
        <v>275000</v>
      </c>
      <c r="R235" s="353">
        <f t="shared" si="71"/>
        <v>1038000</v>
      </c>
      <c r="S235" s="353">
        <f>'[8]SPJ FUNGSIONAL '!V241</f>
        <v>928000</v>
      </c>
      <c r="T235" s="353">
        <f>'[8]SPJ FUNGSIONAL '!W241</f>
        <v>110000</v>
      </c>
      <c r="U235" s="353">
        <f t="shared" si="72"/>
        <v>1038000</v>
      </c>
      <c r="V235" s="353">
        <f t="shared" si="73"/>
        <v>572000</v>
      </c>
      <c r="W235" s="353"/>
      <c r="X235" s="353">
        <f t="shared" si="80"/>
        <v>0</v>
      </c>
      <c r="Y235" s="354">
        <f t="shared" si="74"/>
        <v>0.64472049689440991</v>
      </c>
    </row>
    <row r="236" spans="1:29" s="284" customFormat="1" ht="39.75" customHeight="1">
      <c r="A236" s="441">
        <v>7</v>
      </c>
      <c r="B236" s="442" t="s">
        <v>348</v>
      </c>
      <c r="C236" s="442" t="s">
        <v>357</v>
      </c>
      <c r="D236" s="349">
        <v>2</v>
      </c>
      <c r="E236" s="458" t="s">
        <v>350</v>
      </c>
      <c r="F236" s="458" t="s">
        <v>357</v>
      </c>
      <c r="G236" s="456">
        <v>5</v>
      </c>
      <c r="H236" s="456">
        <v>1</v>
      </c>
      <c r="I236" s="458" t="s">
        <v>350</v>
      </c>
      <c r="J236" s="348" t="s">
        <v>348</v>
      </c>
      <c r="K236" s="348" t="s">
        <v>348</v>
      </c>
      <c r="L236" s="479" t="s">
        <v>384</v>
      </c>
      <c r="M236" s="480" t="s">
        <v>429</v>
      </c>
      <c r="N236" s="351" t="s">
        <v>501</v>
      </c>
      <c r="O236" s="470">
        <f>'[8]SPJ FUNGSIONAL '!O242</f>
        <v>10986050</v>
      </c>
      <c r="P236" s="353">
        <f>'[9]LRA SP2D'!$R$236</f>
        <v>5935150</v>
      </c>
      <c r="Q236" s="353">
        <f>2461350</f>
        <v>2461350</v>
      </c>
      <c r="R236" s="353">
        <f t="shared" si="71"/>
        <v>8396500</v>
      </c>
      <c r="S236" s="353">
        <f>'[8]SPJ FUNGSIONAL '!V242</f>
        <v>6295150</v>
      </c>
      <c r="T236" s="373">
        <f>'[8]SPJ FUNGSIONAL '!W242</f>
        <v>2036350</v>
      </c>
      <c r="U236" s="353">
        <f t="shared" si="72"/>
        <v>8331500</v>
      </c>
      <c r="V236" s="353">
        <f t="shared" si="73"/>
        <v>2654550</v>
      </c>
      <c r="W236" s="353"/>
      <c r="X236" s="353">
        <f t="shared" si="80"/>
        <v>65000</v>
      </c>
      <c r="Y236" s="354">
        <f t="shared" si="74"/>
        <v>0.75837084302365276</v>
      </c>
    </row>
    <row r="237" spans="1:29" s="284" customFormat="1" ht="39.75" customHeight="1">
      <c r="A237" s="441">
        <v>7</v>
      </c>
      <c r="B237" s="442" t="s">
        <v>348</v>
      </c>
      <c r="C237" s="442" t="s">
        <v>357</v>
      </c>
      <c r="D237" s="349">
        <v>2</v>
      </c>
      <c r="E237" s="458" t="s">
        <v>350</v>
      </c>
      <c r="F237" s="458" t="s">
        <v>357</v>
      </c>
      <c r="G237" s="456">
        <v>5</v>
      </c>
      <c r="H237" s="456">
        <v>1</v>
      </c>
      <c r="I237" s="458" t="s">
        <v>350</v>
      </c>
      <c r="J237" s="348" t="s">
        <v>348</v>
      </c>
      <c r="K237" s="348" t="s">
        <v>348</v>
      </c>
      <c r="L237" s="479" t="s">
        <v>384</v>
      </c>
      <c r="M237" s="474">
        <v>9</v>
      </c>
      <c r="N237" s="367" t="s">
        <v>502</v>
      </c>
      <c r="O237" s="470">
        <f>'[8]SPJ FUNGSIONAL '!O243</f>
        <v>500000</v>
      </c>
      <c r="P237" s="353">
        <f>'[9]LRA SP2D'!$R$237</f>
        <v>200000</v>
      </c>
      <c r="Q237" s="353">
        <v>300000</v>
      </c>
      <c r="R237" s="353">
        <f t="shared" si="71"/>
        <v>500000</v>
      </c>
      <c r="S237" s="353">
        <f>'[8]SPJ FUNGSIONAL '!V243</f>
        <v>500000</v>
      </c>
      <c r="T237" s="353">
        <f>'[8]SPJ FUNGSIONAL '!W243</f>
        <v>0</v>
      </c>
      <c r="U237" s="353">
        <f t="shared" si="72"/>
        <v>500000</v>
      </c>
      <c r="V237" s="353">
        <f t="shared" si="73"/>
        <v>0</v>
      </c>
      <c r="W237" s="353"/>
      <c r="X237" s="353">
        <f t="shared" si="80"/>
        <v>0</v>
      </c>
      <c r="Y237" s="354">
        <f t="shared" si="74"/>
        <v>1</v>
      </c>
    </row>
    <row r="238" spans="1:29" s="284" customFormat="1" ht="39.75" customHeight="1">
      <c r="A238" s="441">
        <v>7</v>
      </c>
      <c r="B238" s="442" t="s">
        <v>348</v>
      </c>
      <c r="C238" s="442" t="s">
        <v>357</v>
      </c>
      <c r="D238" s="349">
        <v>2</v>
      </c>
      <c r="E238" s="458" t="s">
        <v>350</v>
      </c>
      <c r="F238" s="458" t="s">
        <v>357</v>
      </c>
      <c r="G238" s="456">
        <v>5</v>
      </c>
      <c r="H238" s="456">
        <v>1</v>
      </c>
      <c r="I238" s="458" t="s">
        <v>350</v>
      </c>
      <c r="J238" s="348" t="s">
        <v>348</v>
      </c>
      <c r="K238" s="348" t="s">
        <v>348</v>
      </c>
      <c r="L238" s="479" t="s">
        <v>380</v>
      </c>
      <c r="M238" s="474">
        <v>5</v>
      </c>
      <c r="N238" s="367" t="s">
        <v>503</v>
      </c>
      <c r="O238" s="470">
        <f>'[8]SPJ FUNGSIONAL '!O244</f>
        <v>800000</v>
      </c>
      <c r="P238" s="353">
        <f>S238</f>
        <v>0</v>
      </c>
      <c r="Q238" s="353">
        <f>T238</f>
        <v>0</v>
      </c>
      <c r="R238" s="353">
        <f t="shared" si="71"/>
        <v>0</v>
      </c>
      <c r="S238" s="353">
        <f>'[8]SPJ FUNGSIONAL '!V244</f>
        <v>0</v>
      </c>
      <c r="T238" s="353">
        <f>'[8]SPJ FUNGSIONAL '!W244</f>
        <v>0</v>
      </c>
      <c r="U238" s="353">
        <f t="shared" si="72"/>
        <v>0</v>
      </c>
      <c r="V238" s="353">
        <f t="shared" si="73"/>
        <v>800000</v>
      </c>
      <c r="W238" s="353">
        <f t="shared" si="68"/>
        <v>0</v>
      </c>
      <c r="X238" s="353">
        <f t="shared" si="80"/>
        <v>0</v>
      </c>
      <c r="Y238" s="354">
        <f t="shared" si="74"/>
        <v>0</v>
      </c>
    </row>
    <row r="239" spans="1:29" s="284" customFormat="1" ht="39.75" customHeight="1">
      <c r="A239" s="441">
        <v>7</v>
      </c>
      <c r="B239" s="442" t="s">
        <v>348</v>
      </c>
      <c r="C239" s="442" t="s">
        <v>357</v>
      </c>
      <c r="D239" s="349">
        <v>2</v>
      </c>
      <c r="E239" s="458" t="s">
        <v>350</v>
      </c>
      <c r="F239" s="458" t="s">
        <v>357</v>
      </c>
      <c r="G239" s="456">
        <v>5</v>
      </c>
      <c r="H239" s="456">
        <v>1</v>
      </c>
      <c r="I239" s="458" t="s">
        <v>350</v>
      </c>
      <c r="J239" s="348" t="s">
        <v>348</v>
      </c>
      <c r="K239" s="348" t="s">
        <v>348</v>
      </c>
      <c r="L239" s="479" t="s">
        <v>380</v>
      </c>
      <c r="M239" s="474">
        <v>6</v>
      </c>
      <c r="N239" s="367" t="s">
        <v>504</v>
      </c>
      <c r="O239" s="470">
        <f>'[8]SPJ FUNGSIONAL '!O245</f>
        <v>0</v>
      </c>
      <c r="P239" s="353"/>
      <c r="Q239" s="353"/>
      <c r="R239" s="353">
        <f t="shared" si="71"/>
        <v>0</v>
      </c>
      <c r="S239" s="353">
        <f>'[8]SPJ FUNGSIONAL '!V245</f>
        <v>0</v>
      </c>
      <c r="T239" s="353">
        <f>'[8]SPJ FUNGSIONAL '!W245</f>
        <v>0</v>
      </c>
      <c r="U239" s="353">
        <f t="shared" si="72"/>
        <v>0</v>
      </c>
      <c r="V239" s="353">
        <f t="shared" si="73"/>
        <v>0</v>
      </c>
      <c r="W239" s="353">
        <f t="shared" si="68"/>
        <v>0</v>
      </c>
      <c r="X239" s="353">
        <f t="shared" si="80"/>
        <v>0</v>
      </c>
      <c r="Y239" s="354">
        <v>0</v>
      </c>
    </row>
    <row r="240" spans="1:29" s="284" customFormat="1" ht="39.75" customHeight="1">
      <c r="A240" s="441">
        <v>7</v>
      </c>
      <c r="B240" s="442" t="s">
        <v>348</v>
      </c>
      <c r="C240" s="442" t="s">
        <v>357</v>
      </c>
      <c r="D240" s="349">
        <v>2</v>
      </c>
      <c r="E240" s="458" t="s">
        <v>350</v>
      </c>
      <c r="F240" s="458" t="s">
        <v>357</v>
      </c>
      <c r="G240" s="456">
        <v>5</v>
      </c>
      <c r="H240" s="456">
        <v>1</v>
      </c>
      <c r="I240" s="458" t="s">
        <v>350</v>
      </c>
      <c r="J240" s="348" t="s">
        <v>348</v>
      </c>
      <c r="K240" s="348" t="s">
        <v>348</v>
      </c>
      <c r="L240" s="479" t="s">
        <v>393</v>
      </c>
      <c r="M240" s="474">
        <v>2</v>
      </c>
      <c r="N240" s="475" t="s">
        <v>492</v>
      </c>
      <c r="O240" s="470">
        <f>'[8]SPJ FUNGSIONAL '!O246</f>
        <v>22245000</v>
      </c>
      <c r="P240" s="353">
        <f>'[9]LRA SP2D'!$R$240</f>
        <v>5615400</v>
      </c>
      <c r="Q240" s="353">
        <v>5925150</v>
      </c>
      <c r="R240" s="353">
        <f t="shared" si="71"/>
        <v>11540550</v>
      </c>
      <c r="S240" s="353">
        <f>'[8]SPJ FUNGSIONAL '!V246</f>
        <v>9552900</v>
      </c>
      <c r="T240" s="353">
        <f>'[8]SPJ FUNGSIONAL '!W246</f>
        <v>1987650</v>
      </c>
      <c r="U240" s="353">
        <f t="shared" si="72"/>
        <v>11540550</v>
      </c>
      <c r="V240" s="353">
        <f t="shared" si="73"/>
        <v>10704450</v>
      </c>
      <c r="W240" s="353"/>
      <c r="X240" s="353">
        <f t="shared" si="80"/>
        <v>0</v>
      </c>
      <c r="Y240" s="354">
        <f t="shared" si="74"/>
        <v>0.51879298718813216</v>
      </c>
    </row>
    <row r="241" spans="1:25" s="284" customFormat="1" ht="39.75" customHeight="1">
      <c r="A241" s="441">
        <v>7</v>
      </c>
      <c r="B241" s="442" t="s">
        <v>348</v>
      </c>
      <c r="C241" s="442" t="s">
        <v>357</v>
      </c>
      <c r="D241" s="349">
        <v>2</v>
      </c>
      <c r="E241" s="458" t="s">
        <v>350</v>
      </c>
      <c r="F241" s="458" t="s">
        <v>357</v>
      </c>
      <c r="G241" s="456">
        <v>5</v>
      </c>
      <c r="H241" s="456">
        <v>1</v>
      </c>
      <c r="I241" s="458" t="s">
        <v>350</v>
      </c>
      <c r="J241" s="348" t="s">
        <v>348</v>
      </c>
      <c r="K241" s="348" t="s">
        <v>348</v>
      </c>
      <c r="L241" s="479" t="s">
        <v>393</v>
      </c>
      <c r="M241" s="474">
        <v>8</v>
      </c>
      <c r="N241" s="475" t="s">
        <v>471</v>
      </c>
      <c r="O241" s="470">
        <f>'[8]SPJ FUNGSIONAL '!O247</f>
        <v>79675000</v>
      </c>
      <c r="P241" s="353">
        <f>'[9]LRA SP2D'!$R$241</f>
        <v>26125850</v>
      </c>
      <c r="Q241" s="353">
        <f>42281401</f>
        <v>42281401</v>
      </c>
      <c r="R241" s="353">
        <f t="shared" si="71"/>
        <v>68407251</v>
      </c>
      <c r="S241" s="353">
        <f>'[8]SPJ FUNGSIONAL '!V247</f>
        <v>28897850</v>
      </c>
      <c r="T241" s="373">
        <f>'[8]SPJ FUNGSIONAL '!W247</f>
        <v>40091701</v>
      </c>
      <c r="U241" s="353">
        <f t="shared" si="72"/>
        <v>68989551</v>
      </c>
      <c r="V241" s="353">
        <f t="shared" si="73"/>
        <v>10685449</v>
      </c>
      <c r="W241" s="353"/>
      <c r="X241" s="353">
        <f t="shared" si="80"/>
        <v>-582300</v>
      </c>
      <c r="Y241" s="354">
        <f t="shared" si="74"/>
        <v>0.86588705365547536</v>
      </c>
    </row>
    <row r="242" spans="1:25" s="284" customFormat="1" ht="39.75" customHeight="1">
      <c r="A242" s="441">
        <v>7</v>
      </c>
      <c r="B242" s="442" t="s">
        <v>348</v>
      </c>
      <c r="C242" s="442" t="s">
        <v>357</v>
      </c>
      <c r="D242" s="349">
        <v>2</v>
      </c>
      <c r="E242" s="458" t="s">
        <v>350</v>
      </c>
      <c r="F242" s="458" t="s">
        <v>357</v>
      </c>
      <c r="G242" s="456">
        <v>5</v>
      </c>
      <c r="H242" s="456">
        <v>1</v>
      </c>
      <c r="I242" s="458" t="s">
        <v>350</v>
      </c>
      <c r="J242" s="348" t="s">
        <v>348</v>
      </c>
      <c r="K242" s="348" t="s">
        <v>348</v>
      </c>
      <c r="L242" s="479" t="s">
        <v>472</v>
      </c>
      <c r="M242" s="474">
        <v>5</v>
      </c>
      <c r="N242" s="475" t="s">
        <v>505</v>
      </c>
      <c r="O242" s="470">
        <f>'[8]SPJ FUNGSIONAL '!O248</f>
        <v>0</v>
      </c>
      <c r="P242" s="353"/>
      <c r="Q242" s="353"/>
      <c r="R242" s="353">
        <f t="shared" si="71"/>
        <v>0</v>
      </c>
      <c r="S242" s="353">
        <f>'[8]SPJ FUNGSIONAL '!V248</f>
        <v>0</v>
      </c>
      <c r="T242" s="353">
        <f>'[8]SPJ FUNGSIONAL '!W248</f>
        <v>0</v>
      </c>
      <c r="U242" s="353">
        <f t="shared" si="72"/>
        <v>0</v>
      </c>
      <c r="V242" s="353">
        <f t="shared" si="73"/>
        <v>0</v>
      </c>
      <c r="W242" s="353"/>
      <c r="X242" s="353">
        <f t="shared" si="80"/>
        <v>0</v>
      </c>
      <c r="Y242" s="354">
        <v>0</v>
      </c>
    </row>
    <row r="243" spans="1:25" s="284" customFormat="1" ht="39.75" customHeight="1">
      <c r="A243" s="439">
        <v>7</v>
      </c>
      <c r="B243" s="440" t="s">
        <v>348</v>
      </c>
      <c r="C243" s="440" t="s">
        <v>357</v>
      </c>
      <c r="D243" s="333">
        <v>2</v>
      </c>
      <c r="E243" s="454" t="s">
        <v>350</v>
      </c>
      <c r="F243" s="454" t="s">
        <v>357</v>
      </c>
      <c r="G243" s="455">
        <v>5</v>
      </c>
      <c r="H243" s="455">
        <v>1</v>
      </c>
      <c r="I243" s="454" t="s">
        <v>350</v>
      </c>
      <c r="J243" s="346" t="s">
        <v>350</v>
      </c>
      <c r="K243" s="349"/>
      <c r="L243" s="349"/>
      <c r="M243" s="350"/>
      <c r="N243" s="374" t="s">
        <v>506</v>
      </c>
      <c r="O243" s="465">
        <f>O244</f>
        <v>238180000</v>
      </c>
      <c r="P243" s="465">
        <f>P244</f>
        <v>141650000</v>
      </c>
      <c r="Q243" s="465">
        <f>Q244+Q250</f>
        <v>72180000</v>
      </c>
      <c r="R243" s="465">
        <f>R244+R250</f>
        <v>213830000</v>
      </c>
      <c r="S243" s="465">
        <f>S244+S250</f>
        <v>168530000</v>
      </c>
      <c r="T243" s="465">
        <f>T244+T250</f>
        <v>67950000</v>
      </c>
      <c r="U243" s="465">
        <f>SUM(S243:T243)</f>
        <v>236480000</v>
      </c>
      <c r="V243" s="465">
        <f t="shared" ref="V243" si="81">V244</f>
        <v>8600000</v>
      </c>
      <c r="W243" s="305"/>
      <c r="X243" s="305">
        <f t="shared" si="80"/>
        <v>-22650000</v>
      </c>
      <c r="Y243" s="307">
        <f t="shared" ref="Y243:Y306" si="82">U243/O243*100%</f>
        <v>0.99286254093542703</v>
      </c>
    </row>
    <row r="244" spans="1:25" s="284" customFormat="1" ht="39.75" customHeight="1">
      <c r="A244" s="439">
        <v>7</v>
      </c>
      <c r="B244" s="440" t="s">
        <v>348</v>
      </c>
      <c r="C244" s="440" t="s">
        <v>357</v>
      </c>
      <c r="D244" s="333">
        <v>2</v>
      </c>
      <c r="E244" s="454" t="s">
        <v>350</v>
      </c>
      <c r="F244" s="454" t="s">
        <v>357</v>
      </c>
      <c r="G244" s="455">
        <v>5</v>
      </c>
      <c r="H244" s="455">
        <v>1</v>
      </c>
      <c r="I244" s="454" t="s">
        <v>350</v>
      </c>
      <c r="J244" s="346" t="s">
        <v>350</v>
      </c>
      <c r="K244" s="346" t="s">
        <v>348</v>
      </c>
      <c r="L244" s="349"/>
      <c r="M244" s="350"/>
      <c r="N244" s="476" t="s">
        <v>392</v>
      </c>
      <c r="O244" s="465">
        <f>SUM(O245:O249)</f>
        <v>238180000</v>
      </c>
      <c r="P244" s="465">
        <f>SUM(P245:P249)</f>
        <v>141650000</v>
      </c>
      <c r="Q244" s="465">
        <f>SUM(Q245:Q249)</f>
        <v>65280000</v>
      </c>
      <c r="R244" s="465">
        <f t="shared" ref="R244:V244" si="83">SUM(R245:R249)</f>
        <v>206930000</v>
      </c>
      <c r="S244" s="465">
        <f t="shared" si="83"/>
        <v>168530000</v>
      </c>
      <c r="T244" s="465">
        <f t="shared" si="83"/>
        <v>61050000</v>
      </c>
      <c r="U244" s="465">
        <f t="shared" si="83"/>
        <v>229580000</v>
      </c>
      <c r="V244" s="465">
        <f t="shared" si="83"/>
        <v>8600000</v>
      </c>
      <c r="W244" s="305"/>
      <c r="X244" s="305">
        <f t="shared" si="80"/>
        <v>-22650000</v>
      </c>
      <c r="Y244" s="307">
        <f t="shared" si="82"/>
        <v>0.96389285414392478</v>
      </c>
    </row>
    <row r="245" spans="1:25" s="284" customFormat="1" ht="39.75" customHeight="1">
      <c r="A245" s="441">
        <v>7</v>
      </c>
      <c r="B245" s="442" t="s">
        <v>348</v>
      </c>
      <c r="C245" s="442" t="s">
        <v>357</v>
      </c>
      <c r="D245" s="349">
        <v>2</v>
      </c>
      <c r="E245" s="458" t="s">
        <v>350</v>
      </c>
      <c r="F245" s="458" t="s">
        <v>357</v>
      </c>
      <c r="G245" s="456">
        <v>5</v>
      </c>
      <c r="H245" s="456">
        <v>1</v>
      </c>
      <c r="I245" s="458" t="s">
        <v>350</v>
      </c>
      <c r="J245" s="348" t="s">
        <v>350</v>
      </c>
      <c r="K245" s="348" t="s">
        <v>348</v>
      </c>
      <c r="L245" s="348" t="s">
        <v>354</v>
      </c>
      <c r="M245" s="481">
        <v>3</v>
      </c>
      <c r="N245" s="475" t="s">
        <v>507</v>
      </c>
      <c r="O245" s="470">
        <f>'[8]SPJ FUNGSIONAL '!O251</f>
        <v>80500000</v>
      </c>
      <c r="P245" s="353">
        <f>'[9]LRA SP2D'!$R$245</f>
        <v>44400000</v>
      </c>
      <c r="Q245" s="353">
        <v>16100000</v>
      </c>
      <c r="R245" s="353">
        <f t="shared" si="71"/>
        <v>60500000</v>
      </c>
      <c r="S245" s="353">
        <f>'[8]SPJ FUNGSIONAL '!V251</f>
        <v>52850000</v>
      </c>
      <c r="T245" s="353">
        <f>'[8]SPJ FUNGSIONAL '!W251</f>
        <v>26050000</v>
      </c>
      <c r="U245" s="353">
        <f t="shared" si="72"/>
        <v>78900000</v>
      </c>
      <c r="V245" s="353">
        <f t="shared" si="73"/>
        <v>1600000</v>
      </c>
      <c r="W245" s="353"/>
      <c r="X245" s="353">
        <f t="shared" si="80"/>
        <v>-18400000</v>
      </c>
      <c r="Y245" s="354">
        <f t="shared" si="82"/>
        <v>0.98012422360248452</v>
      </c>
    </row>
    <row r="246" spans="1:25" s="284" customFormat="1" ht="39.75" customHeight="1">
      <c r="A246" s="441">
        <v>7</v>
      </c>
      <c r="B246" s="442" t="s">
        <v>348</v>
      </c>
      <c r="C246" s="442" t="s">
        <v>357</v>
      </c>
      <c r="D246" s="349">
        <v>2</v>
      </c>
      <c r="E246" s="458" t="s">
        <v>350</v>
      </c>
      <c r="F246" s="458" t="s">
        <v>357</v>
      </c>
      <c r="G246" s="456">
        <v>5</v>
      </c>
      <c r="H246" s="456">
        <v>1</v>
      </c>
      <c r="I246" s="458" t="s">
        <v>350</v>
      </c>
      <c r="J246" s="348" t="s">
        <v>350</v>
      </c>
      <c r="K246" s="348" t="s">
        <v>348</v>
      </c>
      <c r="L246" s="348" t="s">
        <v>354</v>
      </c>
      <c r="M246" s="481" t="s">
        <v>429</v>
      </c>
      <c r="N246" s="475" t="s">
        <v>476</v>
      </c>
      <c r="O246" s="470">
        <f>'[8]SPJ FUNGSIONAL '!O252</f>
        <v>108000000</v>
      </c>
      <c r="P246" s="353">
        <f>'[9]LRA SP2D'!$R$246</f>
        <v>83000000</v>
      </c>
      <c r="Q246" s="353">
        <v>16000000</v>
      </c>
      <c r="R246" s="353">
        <f t="shared" si="71"/>
        <v>99000000</v>
      </c>
      <c r="S246" s="353">
        <f>'[8]SPJ FUNGSIONAL '!V252</f>
        <v>85000000</v>
      </c>
      <c r="T246" s="353">
        <f>'[8]SPJ FUNGSIONAL '!W252</f>
        <v>16000000</v>
      </c>
      <c r="U246" s="353">
        <f t="shared" si="72"/>
        <v>101000000</v>
      </c>
      <c r="V246" s="353">
        <f t="shared" si="73"/>
        <v>7000000</v>
      </c>
      <c r="W246" s="353"/>
      <c r="X246" s="353">
        <f t="shared" si="80"/>
        <v>-2000000</v>
      </c>
      <c r="Y246" s="354">
        <f t="shared" si="82"/>
        <v>0.93518518518518523</v>
      </c>
    </row>
    <row r="247" spans="1:25" s="284" customFormat="1" ht="39.75" customHeight="1">
      <c r="A247" s="450">
        <v>7</v>
      </c>
      <c r="B247" s="451" t="s">
        <v>348</v>
      </c>
      <c r="C247" s="451" t="s">
        <v>357</v>
      </c>
      <c r="D247" s="407">
        <v>2</v>
      </c>
      <c r="E247" s="467" t="s">
        <v>350</v>
      </c>
      <c r="F247" s="467" t="s">
        <v>357</v>
      </c>
      <c r="G247" s="468">
        <v>5</v>
      </c>
      <c r="H247" s="468">
        <v>1</v>
      </c>
      <c r="I247" s="467" t="s">
        <v>350</v>
      </c>
      <c r="J247" s="408" t="s">
        <v>350</v>
      </c>
      <c r="K247" s="408" t="s">
        <v>348</v>
      </c>
      <c r="L247" s="408" t="s">
        <v>384</v>
      </c>
      <c r="M247" s="482">
        <v>5</v>
      </c>
      <c r="N247" s="469" t="s">
        <v>508</v>
      </c>
      <c r="O247" s="470">
        <f>'[8]SPJ FUNGSIONAL '!O253</f>
        <v>10000000</v>
      </c>
      <c r="P247" s="353"/>
      <c r="Q247" s="353">
        <v>10000000</v>
      </c>
      <c r="R247" s="353">
        <f t="shared" si="71"/>
        <v>10000000</v>
      </c>
      <c r="S247" s="353"/>
      <c r="T247" s="353">
        <f>'[8]SPJ FUNGSIONAL '!W253</f>
        <v>10000000</v>
      </c>
      <c r="U247" s="353">
        <f t="shared" si="72"/>
        <v>10000000</v>
      </c>
      <c r="V247" s="353"/>
      <c r="W247" s="353">
        <f t="shared" ref="W247:W248" si="84">R247-U247</f>
        <v>0</v>
      </c>
      <c r="X247" s="353">
        <f t="shared" si="80"/>
        <v>0</v>
      </c>
      <c r="Y247" s="354">
        <f t="shared" si="82"/>
        <v>1</v>
      </c>
    </row>
    <row r="248" spans="1:25" s="284" customFormat="1" ht="39.75" customHeight="1">
      <c r="A248" s="450">
        <v>7</v>
      </c>
      <c r="B248" s="451" t="s">
        <v>348</v>
      </c>
      <c r="C248" s="451" t="s">
        <v>357</v>
      </c>
      <c r="D248" s="407">
        <v>2</v>
      </c>
      <c r="E248" s="467" t="s">
        <v>350</v>
      </c>
      <c r="F248" s="467" t="s">
        <v>357</v>
      </c>
      <c r="G248" s="468">
        <v>5</v>
      </c>
      <c r="H248" s="468">
        <v>1</v>
      </c>
      <c r="I248" s="467" t="s">
        <v>350</v>
      </c>
      <c r="J248" s="408" t="s">
        <v>350</v>
      </c>
      <c r="K248" s="408" t="s">
        <v>348</v>
      </c>
      <c r="L248" s="408" t="s">
        <v>384</v>
      </c>
      <c r="M248" s="482">
        <v>7</v>
      </c>
      <c r="N248" s="469" t="s">
        <v>509</v>
      </c>
      <c r="O248" s="470">
        <f>'[8]SPJ FUNGSIONAL '!O254</f>
        <v>16430000</v>
      </c>
      <c r="P248" s="353"/>
      <c r="Q248" s="353">
        <v>16430000</v>
      </c>
      <c r="R248" s="353">
        <f t="shared" si="71"/>
        <v>16430000</v>
      </c>
      <c r="S248" s="353">
        <f>'[9]LRA SP2D'!$U$248</f>
        <v>16430000</v>
      </c>
      <c r="T248" s="353"/>
      <c r="U248" s="353">
        <f t="shared" si="72"/>
        <v>16430000</v>
      </c>
      <c r="V248" s="353"/>
      <c r="W248" s="353">
        <f t="shared" si="84"/>
        <v>0</v>
      </c>
      <c r="X248" s="353">
        <f t="shared" si="80"/>
        <v>0</v>
      </c>
      <c r="Y248" s="354">
        <f t="shared" si="82"/>
        <v>1</v>
      </c>
    </row>
    <row r="249" spans="1:25" s="284" customFormat="1" ht="39.75" customHeight="1">
      <c r="A249" s="441">
        <v>7</v>
      </c>
      <c r="B249" s="442" t="s">
        <v>348</v>
      </c>
      <c r="C249" s="442" t="s">
        <v>357</v>
      </c>
      <c r="D249" s="349">
        <v>2</v>
      </c>
      <c r="E249" s="458" t="s">
        <v>350</v>
      </c>
      <c r="F249" s="458" t="s">
        <v>357</v>
      </c>
      <c r="G249" s="456">
        <v>5</v>
      </c>
      <c r="H249" s="456">
        <v>1</v>
      </c>
      <c r="I249" s="458" t="s">
        <v>350</v>
      </c>
      <c r="J249" s="348" t="s">
        <v>350</v>
      </c>
      <c r="K249" s="348" t="s">
        <v>348</v>
      </c>
      <c r="L249" s="348" t="s">
        <v>380</v>
      </c>
      <c r="M249" s="350">
        <v>7</v>
      </c>
      <c r="N249" s="475" t="s">
        <v>478</v>
      </c>
      <c r="O249" s="470">
        <f>'[8]SPJ FUNGSIONAL '!O255</f>
        <v>23250000</v>
      </c>
      <c r="P249" s="353">
        <f>'[9]LRA SP2D'!$R$249</f>
        <v>14250000</v>
      </c>
      <c r="Q249" s="353">
        <f>T249-2250000</f>
        <v>6750000</v>
      </c>
      <c r="R249" s="353">
        <f t="shared" si="71"/>
        <v>21000000</v>
      </c>
      <c r="S249" s="353">
        <f>'[8]SPJ FUNGSIONAL '!V255</f>
        <v>14250000</v>
      </c>
      <c r="T249" s="353">
        <f>'[8]SPJ FUNGSIONAL '!W255</f>
        <v>9000000</v>
      </c>
      <c r="U249" s="353">
        <f t="shared" si="72"/>
        <v>23250000</v>
      </c>
      <c r="V249" s="353">
        <f t="shared" si="73"/>
        <v>0</v>
      </c>
      <c r="W249" s="353"/>
      <c r="X249" s="353">
        <f t="shared" si="80"/>
        <v>-2250000</v>
      </c>
      <c r="Y249" s="354">
        <f t="shared" si="82"/>
        <v>1</v>
      </c>
    </row>
    <row r="250" spans="1:25" s="288" customFormat="1" ht="39.75" customHeight="1">
      <c r="A250" s="459">
        <v>7</v>
      </c>
      <c r="B250" s="460" t="s">
        <v>348</v>
      </c>
      <c r="C250" s="460" t="s">
        <v>357</v>
      </c>
      <c r="D250" s="388">
        <v>2</v>
      </c>
      <c r="E250" s="461" t="s">
        <v>350</v>
      </c>
      <c r="F250" s="461" t="s">
        <v>357</v>
      </c>
      <c r="G250" s="462">
        <v>5</v>
      </c>
      <c r="H250" s="462">
        <v>1</v>
      </c>
      <c r="I250" s="461" t="s">
        <v>350</v>
      </c>
      <c r="J250" s="387" t="s">
        <v>350</v>
      </c>
      <c r="K250" s="387" t="s">
        <v>348</v>
      </c>
      <c r="L250" s="387"/>
      <c r="M250" s="483"/>
      <c r="N250" s="484" t="s">
        <v>496</v>
      </c>
      <c r="O250" s="465">
        <f>O251+O252</f>
        <v>6900000</v>
      </c>
      <c r="P250" s="465">
        <f>P251+P252</f>
        <v>0</v>
      </c>
      <c r="Q250" s="465">
        <f>Q251+Q252</f>
        <v>6900000</v>
      </c>
      <c r="R250" s="305">
        <f>SUM(P250:Q250)</f>
        <v>6900000</v>
      </c>
      <c r="S250" s="305">
        <f>S251+S252</f>
        <v>0</v>
      </c>
      <c r="T250" s="305">
        <f>T251+T252</f>
        <v>6900000</v>
      </c>
      <c r="U250" s="305">
        <f>SUM(S250:T250)</f>
        <v>6900000</v>
      </c>
      <c r="V250" s="305"/>
      <c r="W250" s="305">
        <f t="shared" ref="W250" si="85">Q250-T250</f>
        <v>0</v>
      </c>
      <c r="X250" s="305">
        <f t="shared" si="80"/>
        <v>0</v>
      </c>
      <c r="Y250" s="307">
        <f t="shared" si="82"/>
        <v>1</v>
      </c>
    </row>
    <row r="251" spans="1:25" s="284" customFormat="1" ht="39.75" customHeight="1">
      <c r="A251" s="450">
        <v>7</v>
      </c>
      <c r="B251" s="451" t="s">
        <v>348</v>
      </c>
      <c r="C251" s="451" t="s">
        <v>357</v>
      </c>
      <c r="D251" s="407">
        <v>2</v>
      </c>
      <c r="E251" s="467" t="s">
        <v>350</v>
      </c>
      <c r="F251" s="467" t="s">
        <v>357</v>
      </c>
      <c r="G251" s="468">
        <v>5</v>
      </c>
      <c r="H251" s="468">
        <v>1</v>
      </c>
      <c r="I251" s="467" t="s">
        <v>350</v>
      </c>
      <c r="J251" s="408" t="s">
        <v>350</v>
      </c>
      <c r="K251" s="408" t="s">
        <v>348</v>
      </c>
      <c r="L251" s="408" t="s">
        <v>444</v>
      </c>
      <c r="M251" s="482">
        <v>7</v>
      </c>
      <c r="N251" s="469" t="s">
        <v>497</v>
      </c>
      <c r="O251" s="470">
        <f>'[8]SPJ FUNGSIONAL '!O257</f>
        <v>3900000</v>
      </c>
      <c r="P251" s="470"/>
      <c r="Q251" s="470">
        <v>3900000</v>
      </c>
      <c r="R251" s="353">
        <f>SUM(P251:Q251)</f>
        <v>3900000</v>
      </c>
      <c r="S251" s="353"/>
      <c r="T251" s="470">
        <f>'[8]SPJ FUNGSIONAL '!W257</f>
        <v>3900000</v>
      </c>
      <c r="U251" s="353">
        <f>SUM(S251:T251)</f>
        <v>3900000</v>
      </c>
      <c r="V251" s="353"/>
      <c r="W251" s="353"/>
      <c r="X251" s="353">
        <f t="shared" si="80"/>
        <v>0</v>
      </c>
      <c r="Y251" s="354">
        <f t="shared" si="82"/>
        <v>1</v>
      </c>
    </row>
    <row r="252" spans="1:25" s="284" customFormat="1" ht="39.75" customHeight="1">
      <c r="A252" s="450">
        <v>7</v>
      </c>
      <c r="B252" s="451" t="s">
        <v>348</v>
      </c>
      <c r="C252" s="451" t="s">
        <v>357</v>
      </c>
      <c r="D252" s="407">
        <v>2</v>
      </c>
      <c r="E252" s="467" t="s">
        <v>350</v>
      </c>
      <c r="F252" s="467" t="s">
        <v>357</v>
      </c>
      <c r="G252" s="468">
        <v>5</v>
      </c>
      <c r="H252" s="468">
        <v>1</v>
      </c>
      <c r="I252" s="467" t="s">
        <v>350</v>
      </c>
      <c r="J252" s="408" t="s">
        <v>350</v>
      </c>
      <c r="K252" s="408" t="s">
        <v>348</v>
      </c>
      <c r="L252" s="408" t="s">
        <v>510</v>
      </c>
      <c r="M252" s="482">
        <v>2</v>
      </c>
      <c r="N252" s="469" t="s">
        <v>511</v>
      </c>
      <c r="O252" s="470">
        <f>'[8]SPJ FUNGSIONAL '!O258</f>
        <v>3000000</v>
      </c>
      <c r="P252" s="470"/>
      <c r="Q252" s="470">
        <v>3000000</v>
      </c>
      <c r="R252" s="353">
        <f>SUM(P252:Q252)</f>
        <v>3000000</v>
      </c>
      <c r="S252" s="353"/>
      <c r="T252" s="470">
        <f>'[8]SPJ FUNGSIONAL '!W258</f>
        <v>3000000</v>
      </c>
      <c r="U252" s="353">
        <f>SUM(S252:T252)</f>
        <v>3000000</v>
      </c>
      <c r="V252" s="353"/>
      <c r="W252" s="353"/>
      <c r="X252" s="353">
        <f t="shared" si="80"/>
        <v>0</v>
      </c>
      <c r="Y252" s="354">
        <f t="shared" si="82"/>
        <v>1</v>
      </c>
    </row>
    <row r="253" spans="1:25" s="284" customFormat="1" ht="39.75" customHeight="1">
      <c r="A253" s="439">
        <v>7</v>
      </c>
      <c r="B253" s="440" t="s">
        <v>348</v>
      </c>
      <c r="C253" s="440" t="s">
        <v>357</v>
      </c>
      <c r="D253" s="333">
        <v>2</v>
      </c>
      <c r="E253" s="346" t="s">
        <v>350</v>
      </c>
      <c r="F253" s="346" t="s">
        <v>357</v>
      </c>
      <c r="G253" s="333">
        <v>5</v>
      </c>
      <c r="H253" s="333">
        <v>1</v>
      </c>
      <c r="I253" s="346" t="s">
        <v>350</v>
      </c>
      <c r="J253" s="346" t="s">
        <v>382</v>
      </c>
      <c r="K253" s="333"/>
      <c r="L253" s="349"/>
      <c r="M253" s="350"/>
      <c r="N253" s="476" t="s">
        <v>400</v>
      </c>
      <c r="O253" s="465">
        <f>O254</f>
        <v>95689700</v>
      </c>
      <c r="P253" s="465">
        <f>P254</f>
        <v>36800480</v>
      </c>
      <c r="Q253" s="465">
        <f>Q254</f>
        <v>45835350</v>
      </c>
      <c r="R253" s="305">
        <f t="shared" si="71"/>
        <v>82635830</v>
      </c>
      <c r="S253" s="305">
        <f>'[8]SPJ FUNGSIONAL '!V259</f>
        <v>74650480</v>
      </c>
      <c r="T253" s="465">
        <f>T254</f>
        <v>7985350</v>
      </c>
      <c r="U253" s="305">
        <f t="shared" si="72"/>
        <v>82635830</v>
      </c>
      <c r="V253" s="305">
        <f t="shared" si="73"/>
        <v>13053870</v>
      </c>
      <c r="W253" s="305"/>
      <c r="X253" s="305">
        <f t="shared" si="80"/>
        <v>0</v>
      </c>
      <c r="Y253" s="354">
        <f t="shared" si="82"/>
        <v>0.86358124228626487</v>
      </c>
    </row>
    <row r="254" spans="1:25" s="284" customFormat="1" ht="39.75" customHeight="1">
      <c r="A254" s="439">
        <v>7</v>
      </c>
      <c r="B254" s="440" t="s">
        <v>348</v>
      </c>
      <c r="C254" s="440" t="s">
        <v>357</v>
      </c>
      <c r="D254" s="333">
        <v>2</v>
      </c>
      <c r="E254" s="346" t="s">
        <v>350</v>
      </c>
      <c r="F254" s="346" t="s">
        <v>357</v>
      </c>
      <c r="G254" s="333">
        <v>5</v>
      </c>
      <c r="H254" s="333">
        <v>1</v>
      </c>
      <c r="I254" s="346" t="s">
        <v>350</v>
      </c>
      <c r="J254" s="346" t="s">
        <v>382</v>
      </c>
      <c r="K254" s="346" t="s">
        <v>348</v>
      </c>
      <c r="L254" s="349"/>
      <c r="M254" s="350"/>
      <c r="N254" s="476" t="s">
        <v>401</v>
      </c>
      <c r="O254" s="465">
        <f>SUM(O255:O256)</f>
        <v>95689700</v>
      </c>
      <c r="P254" s="465">
        <f>SUM(P255:P256)</f>
        <v>36800480</v>
      </c>
      <c r="Q254" s="465">
        <f>SUM(Q255:Q256)</f>
        <v>45835350</v>
      </c>
      <c r="R254" s="305">
        <f t="shared" si="71"/>
        <v>82635830</v>
      </c>
      <c r="S254" s="305">
        <f>'[8]SPJ FUNGSIONAL '!V260</f>
        <v>74650480</v>
      </c>
      <c r="T254" s="465">
        <f>SUM(T255:T256)</f>
        <v>7985350</v>
      </c>
      <c r="U254" s="305">
        <f t="shared" si="72"/>
        <v>82635830</v>
      </c>
      <c r="V254" s="305">
        <f t="shared" si="73"/>
        <v>13053870</v>
      </c>
      <c r="W254" s="305"/>
      <c r="X254" s="305">
        <f t="shared" si="80"/>
        <v>0</v>
      </c>
      <c r="Y254" s="354">
        <f t="shared" si="82"/>
        <v>0.86358124228626487</v>
      </c>
    </row>
    <row r="255" spans="1:25" s="284" customFormat="1" ht="39.75" customHeight="1">
      <c r="A255" s="441">
        <v>7</v>
      </c>
      <c r="B255" s="442" t="s">
        <v>348</v>
      </c>
      <c r="C255" s="442" t="s">
        <v>357</v>
      </c>
      <c r="D255" s="349">
        <v>2</v>
      </c>
      <c r="E255" s="348" t="s">
        <v>350</v>
      </c>
      <c r="F255" s="348" t="s">
        <v>357</v>
      </c>
      <c r="G255" s="349">
        <v>5</v>
      </c>
      <c r="H255" s="349">
        <v>1</v>
      </c>
      <c r="I255" s="348" t="s">
        <v>350</v>
      </c>
      <c r="J255" s="348" t="s">
        <v>382</v>
      </c>
      <c r="K255" s="348" t="s">
        <v>348</v>
      </c>
      <c r="L255" s="348" t="s">
        <v>354</v>
      </c>
      <c r="M255" s="481" t="s">
        <v>336</v>
      </c>
      <c r="N255" s="475" t="s">
        <v>402</v>
      </c>
      <c r="O255" s="470">
        <f>'[8]SPJ FUNGSIONAL '!O261</f>
        <v>62089700</v>
      </c>
      <c r="P255" s="353">
        <f>'[9]LRA SP2D'!$R$255</f>
        <v>17150480</v>
      </c>
      <c r="Q255" s="353">
        <v>38235350</v>
      </c>
      <c r="R255" s="353">
        <f t="shared" si="71"/>
        <v>55385830</v>
      </c>
      <c r="S255" s="353">
        <f>'[8]SPJ FUNGSIONAL '!V261</f>
        <v>55000480</v>
      </c>
      <c r="T255" s="353">
        <f>'[8]SPJ FUNGSIONAL '!W261</f>
        <v>385350</v>
      </c>
      <c r="U255" s="353">
        <f t="shared" si="72"/>
        <v>55385830</v>
      </c>
      <c r="V255" s="353">
        <f t="shared" si="73"/>
        <v>6703870</v>
      </c>
      <c r="W255" s="353"/>
      <c r="X255" s="353">
        <f t="shared" si="80"/>
        <v>0</v>
      </c>
      <c r="Y255" s="354">
        <f t="shared" si="82"/>
        <v>0.89202927377648789</v>
      </c>
    </row>
    <row r="256" spans="1:25" s="284" customFormat="1" ht="39.75" customHeight="1">
      <c r="A256" s="441">
        <v>7</v>
      </c>
      <c r="B256" s="442" t="s">
        <v>348</v>
      </c>
      <c r="C256" s="442" t="s">
        <v>357</v>
      </c>
      <c r="D256" s="349">
        <v>2</v>
      </c>
      <c r="E256" s="348" t="s">
        <v>350</v>
      </c>
      <c r="F256" s="348" t="s">
        <v>357</v>
      </c>
      <c r="G256" s="349">
        <v>5</v>
      </c>
      <c r="H256" s="349">
        <v>1</v>
      </c>
      <c r="I256" s="348" t="s">
        <v>350</v>
      </c>
      <c r="J256" s="348" t="s">
        <v>382</v>
      </c>
      <c r="K256" s="348" t="s">
        <v>348</v>
      </c>
      <c r="L256" s="348" t="s">
        <v>354</v>
      </c>
      <c r="M256" s="350">
        <v>3</v>
      </c>
      <c r="N256" s="475" t="s">
        <v>483</v>
      </c>
      <c r="O256" s="470">
        <f>'[8]SPJ FUNGSIONAL '!O262</f>
        <v>33600000</v>
      </c>
      <c r="P256" s="353">
        <f>'[9]LRA SP2D'!$R$256</f>
        <v>19650000</v>
      </c>
      <c r="Q256" s="353">
        <v>7600000</v>
      </c>
      <c r="R256" s="353">
        <f t="shared" si="71"/>
        <v>27250000</v>
      </c>
      <c r="S256" s="353">
        <f>'[8]SPJ FUNGSIONAL '!V262</f>
        <v>19650000</v>
      </c>
      <c r="T256" s="353">
        <f>'[8]SPJ FUNGSIONAL '!W262</f>
        <v>7600000</v>
      </c>
      <c r="U256" s="353">
        <f t="shared" si="72"/>
        <v>27250000</v>
      </c>
      <c r="V256" s="353">
        <f t="shared" si="73"/>
        <v>6350000</v>
      </c>
      <c r="W256" s="353"/>
      <c r="X256" s="353">
        <f t="shared" si="80"/>
        <v>0</v>
      </c>
      <c r="Y256" s="354">
        <f t="shared" si="82"/>
        <v>0.81101190476190477</v>
      </c>
    </row>
    <row r="257" spans="1:25" s="284" customFormat="1" ht="48" customHeight="1">
      <c r="A257" s="439">
        <v>7</v>
      </c>
      <c r="B257" s="440" t="s">
        <v>348</v>
      </c>
      <c r="C257" s="440" t="s">
        <v>357</v>
      </c>
      <c r="D257" s="333">
        <v>2</v>
      </c>
      <c r="E257" s="346" t="s">
        <v>350</v>
      </c>
      <c r="F257" s="346" t="s">
        <v>357</v>
      </c>
      <c r="G257" s="333">
        <v>5</v>
      </c>
      <c r="H257" s="333">
        <v>1</v>
      </c>
      <c r="I257" s="346" t="s">
        <v>350</v>
      </c>
      <c r="J257" s="346" t="s">
        <v>359</v>
      </c>
      <c r="K257" s="333"/>
      <c r="L257" s="349"/>
      <c r="M257" s="350"/>
      <c r="N257" s="476" t="s">
        <v>484</v>
      </c>
      <c r="O257" s="465">
        <f>O258</f>
        <v>11100000</v>
      </c>
      <c r="P257" s="465">
        <f t="shared" ref="P257:Q257" si="86">P258</f>
        <v>5500000</v>
      </c>
      <c r="Q257" s="465">
        <f t="shared" si="86"/>
        <v>5600000</v>
      </c>
      <c r="R257" s="305">
        <f t="shared" si="71"/>
        <v>11100000</v>
      </c>
      <c r="S257" s="465">
        <f t="shared" ref="S257:T258" si="87">S258</f>
        <v>7100000</v>
      </c>
      <c r="T257" s="465">
        <f t="shared" si="87"/>
        <v>4000000</v>
      </c>
      <c r="U257" s="305">
        <f t="shared" si="72"/>
        <v>11100000</v>
      </c>
      <c r="V257" s="305">
        <f t="shared" si="73"/>
        <v>0</v>
      </c>
      <c r="W257" s="305"/>
      <c r="X257" s="305">
        <f t="shared" si="80"/>
        <v>0</v>
      </c>
      <c r="Y257" s="307">
        <f t="shared" si="82"/>
        <v>1</v>
      </c>
    </row>
    <row r="258" spans="1:25" s="284" customFormat="1" ht="46.5" customHeight="1">
      <c r="A258" s="439">
        <v>7</v>
      </c>
      <c r="B258" s="440" t="s">
        <v>348</v>
      </c>
      <c r="C258" s="440" t="s">
        <v>357</v>
      </c>
      <c r="D258" s="333">
        <v>2</v>
      </c>
      <c r="E258" s="346" t="s">
        <v>350</v>
      </c>
      <c r="F258" s="346" t="s">
        <v>357</v>
      </c>
      <c r="G258" s="333">
        <v>5</v>
      </c>
      <c r="H258" s="333">
        <v>1</v>
      </c>
      <c r="I258" s="346" t="s">
        <v>350</v>
      </c>
      <c r="J258" s="346" t="s">
        <v>359</v>
      </c>
      <c r="K258" s="346" t="s">
        <v>348</v>
      </c>
      <c r="L258" s="349"/>
      <c r="M258" s="350"/>
      <c r="N258" s="476" t="s">
        <v>485</v>
      </c>
      <c r="O258" s="470">
        <f>O259</f>
        <v>11100000</v>
      </c>
      <c r="P258" s="305">
        <f>'[9]LRA SP2D'!$R$258</f>
        <v>5500000</v>
      </c>
      <c r="Q258" s="305">
        <f>Q259</f>
        <v>5600000</v>
      </c>
      <c r="R258" s="305">
        <f t="shared" si="71"/>
        <v>11100000</v>
      </c>
      <c r="S258" s="465">
        <f t="shared" si="87"/>
        <v>7100000</v>
      </c>
      <c r="T258" s="465">
        <f>T259</f>
        <v>4000000</v>
      </c>
      <c r="U258" s="305">
        <f t="shared" si="72"/>
        <v>11100000</v>
      </c>
      <c r="V258" s="353">
        <f t="shared" si="73"/>
        <v>0</v>
      </c>
      <c r="W258" s="353"/>
      <c r="X258" s="353">
        <f t="shared" si="80"/>
        <v>0</v>
      </c>
      <c r="Y258" s="354">
        <f t="shared" si="82"/>
        <v>1</v>
      </c>
    </row>
    <row r="259" spans="1:25" s="284" customFormat="1" ht="39.75" customHeight="1">
      <c r="A259" s="441">
        <v>7</v>
      </c>
      <c r="B259" s="442" t="s">
        <v>348</v>
      </c>
      <c r="C259" s="442" t="s">
        <v>357</v>
      </c>
      <c r="D259" s="349">
        <v>2</v>
      </c>
      <c r="E259" s="348" t="s">
        <v>350</v>
      </c>
      <c r="F259" s="348" t="s">
        <v>357</v>
      </c>
      <c r="G259" s="349">
        <v>5</v>
      </c>
      <c r="H259" s="349">
        <v>1</v>
      </c>
      <c r="I259" s="348" t="s">
        <v>350</v>
      </c>
      <c r="J259" s="348" t="s">
        <v>359</v>
      </c>
      <c r="K259" s="348" t="s">
        <v>348</v>
      </c>
      <c r="L259" s="348" t="s">
        <v>354</v>
      </c>
      <c r="M259" s="350">
        <v>1</v>
      </c>
      <c r="N259" s="475" t="s">
        <v>512</v>
      </c>
      <c r="O259" s="470">
        <f>'[8]SPJ FUNGSIONAL '!O265</f>
        <v>11100000</v>
      </c>
      <c r="P259" s="353">
        <f>'[9]LRA SP2D'!$R$259</f>
        <v>5500000</v>
      </c>
      <c r="Q259" s="353">
        <v>5600000</v>
      </c>
      <c r="R259" s="353">
        <f t="shared" si="71"/>
        <v>11100000</v>
      </c>
      <c r="S259" s="353">
        <f>'[9]LRA SP2D'!$U$259</f>
        <v>7100000</v>
      </c>
      <c r="T259" s="353">
        <f>'[8]SPJ FUNGSIONAL '!W265</f>
        <v>4000000</v>
      </c>
      <c r="U259" s="353">
        <f t="shared" si="72"/>
        <v>11100000</v>
      </c>
      <c r="V259" s="353">
        <f t="shared" si="73"/>
        <v>0</v>
      </c>
      <c r="W259" s="353"/>
      <c r="X259" s="353">
        <f t="shared" si="80"/>
        <v>0</v>
      </c>
      <c r="Y259" s="354">
        <f t="shared" si="82"/>
        <v>1</v>
      </c>
    </row>
    <row r="260" spans="1:25" s="284" customFormat="1" ht="25" customHeight="1">
      <c r="A260" s="319"/>
      <c r="B260" s="320"/>
      <c r="C260" s="320"/>
      <c r="D260" s="485"/>
      <c r="E260" s="485"/>
      <c r="F260" s="485"/>
      <c r="G260" s="485"/>
      <c r="H260" s="485"/>
      <c r="I260" s="485"/>
      <c r="J260" s="485"/>
      <c r="K260" s="485"/>
      <c r="L260" s="486"/>
      <c r="M260" s="487"/>
      <c r="N260" s="476"/>
      <c r="O260" s="470"/>
      <c r="P260" s="353"/>
      <c r="Q260" s="353"/>
      <c r="R260" s="353">
        <f t="shared" si="71"/>
        <v>0</v>
      </c>
      <c r="S260" s="353"/>
      <c r="T260" s="353"/>
      <c r="U260" s="353">
        <f t="shared" si="72"/>
        <v>0</v>
      </c>
      <c r="V260" s="353">
        <f t="shared" si="73"/>
        <v>0</v>
      </c>
      <c r="W260" s="353">
        <f t="shared" ref="W260:W268" si="88">R260-U260</f>
        <v>0</v>
      </c>
      <c r="X260" s="353">
        <f t="shared" si="80"/>
        <v>0</v>
      </c>
      <c r="Y260" s="354"/>
    </row>
    <row r="261" spans="1:25" s="284" customFormat="1" ht="43.5" customHeight="1">
      <c r="A261" s="426">
        <v>7</v>
      </c>
      <c r="B261" s="427" t="s">
        <v>348</v>
      </c>
      <c r="C261" s="427" t="s">
        <v>357</v>
      </c>
      <c r="D261" s="427" t="s">
        <v>397</v>
      </c>
      <c r="E261" s="427" t="s">
        <v>357</v>
      </c>
      <c r="F261" s="428"/>
      <c r="G261" s="428"/>
      <c r="H261" s="428"/>
      <c r="I261" s="428"/>
      <c r="J261" s="428"/>
      <c r="K261" s="428"/>
      <c r="L261" s="428"/>
      <c r="M261" s="443"/>
      <c r="N261" s="328" t="s">
        <v>513</v>
      </c>
      <c r="O261" s="445">
        <f>O263</f>
        <v>2168741000</v>
      </c>
      <c r="P261" s="445">
        <f>P263</f>
        <v>1802005250</v>
      </c>
      <c r="Q261" s="445">
        <f>Q263</f>
        <v>258933750</v>
      </c>
      <c r="R261" s="330">
        <f t="shared" si="71"/>
        <v>2060939000</v>
      </c>
      <c r="S261" s="445">
        <f>S263</f>
        <v>1802005250</v>
      </c>
      <c r="T261" s="445">
        <f>T263</f>
        <v>360933750</v>
      </c>
      <c r="U261" s="330">
        <f t="shared" si="72"/>
        <v>2162939000</v>
      </c>
      <c r="V261" s="330">
        <f t="shared" si="73"/>
        <v>5802000</v>
      </c>
      <c r="W261" s="330"/>
      <c r="X261" s="330">
        <f t="shared" si="80"/>
        <v>-102000000</v>
      </c>
      <c r="Y261" s="331">
        <f t="shared" si="82"/>
        <v>0.99732471512273713</v>
      </c>
    </row>
    <row r="262" spans="1:25" s="284" customFormat="1" ht="25" customHeight="1">
      <c r="A262" s="446"/>
      <c r="B262" s="447"/>
      <c r="C262" s="447"/>
      <c r="D262" s="447"/>
      <c r="E262" s="447"/>
      <c r="F262" s="447"/>
      <c r="G262" s="447"/>
      <c r="H262" s="447"/>
      <c r="I262" s="447"/>
      <c r="J262" s="447"/>
      <c r="K262" s="447"/>
      <c r="L262" s="447"/>
      <c r="M262" s="448"/>
      <c r="N262" s="302"/>
      <c r="O262" s="322"/>
      <c r="P262" s="323"/>
      <c r="Q262" s="323"/>
      <c r="R262" s="305"/>
      <c r="S262" s="323"/>
      <c r="T262" s="323"/>
      <c r="U262" s="305"/>
      <c r="V262" s="305"/>
      <c r="W262" s="305"/>
      <c r="X262" s="305"/>
      <c r="Y262" s="307"/>
    </row>
    <row r="263" spans="1:25" s="284" customFormat="1" ht="40.5" customHeight="1">
      <c r="A263" s="433">
        <v>7</v>
      </c>
      <c r="B263" s="434" t="s">
        <v>348</v>
      </c>
      <c r="C263" s="434" t="s">
        <v>357</v>
      </c>
      <c r="D263" s="340">
        <v>2</v>
      </c>
      <c r="E263" s="339" t="s">
        <v>357</v>
      </c>
      <c r="F263" s="339" t="s">
        <v>348</v>
      </c>
      <c r="G263" s="488"/>
      <c r="H263" s="488"/>
      <c r="I263" s="488"/>
      <c r="J263" s="488"/>
      <c r="K263" s="488"/>
      <c r="L263" s="488"/>
      <c r="M263" s="489"/>
      <c r="N263" s="449" t="s">
        <v>514</v>
      </c>
      <c r="O263" s="343">
        <f>O264</f>
        <v>2168741000</v>
      </c>
      <c r="P263" s="343">
        <f t="shared" ref="P263:V263" si="89">P264</f>
        <v>1802005250</v>
      </c>
      <c r="Q263" s="343">
        <f t="shared" si="89"/>
        <v>258933750</v>
      </c>
      <c r="R263" s="343">
        <f t="shared" si="89"/>
        <v>2060939000</v>
      </c>
      <c r="S263" s="343">
        <f t="shared" si="89"/>
        <v>1802005250</v>
      </c>
      <c r="T263" s="343">
        <f t="shared" si="89"/>
        <v>360933750</v>
      </c>
      <c r="U263" s="343">
        <f t="shared" si="89"/>
        <v>2162939000</v>
      </c>
      <c r="V263" s="343">
        <f t="shared" si="89"/>
        <v>5802000</v>
      </c>
      <c r="W263" s="344"/>
      <c r="X263" s="344">
        <f t="shared" si="80"/>
        <v>-102000000</v>
      </c>
      <c r="Y263" s="371">
        <f t="shared" si="82"/>
        <v>0.99732471512273713</v>
      </c>
    </row>
    <row r="264" spans="1:25" s="284" customFormat="1" ht="40.5" customHeight="1">
      <c r="A264" s="439">
        <v>7</v>
      </c>
      <c r="B264" s="440" t="s">
        <v>348</v>
      </c>
      <c r="C264" s="440" t="s">
        <v>357</v>
      </c>
      <c r="D264" s="333">
        <v>2</v>
      </c>
      <c r="E264" s="346" t="s">
        <v>357</v>
      </c>
      <c r="F264" s="346" t="s">
        <v>348</v>
      </c>
      <c r="G264" s="333">
        <v>5</v>
      </c>
      <c r="H264" s="333">
        <v>1</v>
      </c>
      <c r="I264" s="346" t="s">
        <v>350</v>
      </c>
      <c r="J264" s="333"/>
      <c r="K264" s="333"/>
      <c r="L264" s="349"/>
      <c r="M264" s="350"/>
      <c r="N264" s="476" t="s">
        <v>489</v>
      </c>
      <c r="O264" s="465">
        <f>O265+O270</f>
        <v>2168741000</v>
      </c>
      <c r="P264" s="465">
        <f t="shared" ref="P264:V264" si="90">P265+P270</f>
        <v>1802005250</v>
      </c>
      <c r="Q264" s="465">
        <f t="shared" si="90"/>
        <v>258933750</v>
      </c>
      <c r="R264" s="465">
        <f t="shared" si="90"/>
        <v>2060939000</v>
      </c>
      <c r="S264" s="465">
        <f t="shared" si="90"/>
        <v>1802005250</v>
      </c>
      <c r="T264" s="465">
        <f t="shared" si="90"/>
        <v>360933750</v>
      </c>
      <c r="U264" s="465">
        <f t="shared" si="90"/>
        <v>2162939000</v>
      </c>
      <c r="V264" s="465">
        <f t="shared" si="90"/>
        <v>5802000</v>
      </c>
      <c r="W264" s="305"/>
      <c r="X264" s="305">
        <f t="shared" si="80"/>
        <v>-102000000</v>
      </c>
      <c r="Y264" s="307">
        <f t="shared" si="82"/>
        <v>0.99732471512273713</v>
      </c>
    </row>
    <row r="265" spans="1:25" s="284" customFormat="1" ht="40.5" customHeight="1">
      <c r="A265" s="439">
        <v>7</v>
      </c>
      <c r="B265" s="440" t="s">
        <v>348</v>
      </c>
      <c r="C265" s="440" t="s">
        <v>357</v>
      </c>
      <c r="D265" s="333">
        <v>2</v>
      </c>
      <c r="E265" s="346" t="s">
        <v>357</v>
      </c>
      <c r="F265" s="346" t="s">
        <v>348</v>
      </c>
      <c r="G265" s="333">
        <v>5</v>
      </c>
      <c r="H265" s="333">
        <v>1</v>
      </c>
      <c r="I265" s="346" t="s">
        <v>350</v>
      </c>
      <c r="J265" s="346" t="s">
        <v>348</v>
      </c>
      <c r="K265" s="333"/>
      <c r="L265" s="349"/>
      <c r="M265" s="350"/>
      <c r="N265" s="476" t="s">
        <v>398</v>
      </c>
      <c r="O265" s="465">
        <f>O266</f>
        <v>26741000</v>
      </c>
      <c r="P265" s="465">
        <f>P266</f>
        <v>17305250</v>
      </c>
      <c r="Q265" s="465">
        <f>Q266</f>
        <v>3933750</v>
      </c>
      <c r="R265" s="305">
        <f t="shared" si="71"/>
        <v>21239000</v>
      </c>
      <c r="S265" s="465">
        <f>S266</f>
        <v>17305250</v>
      </c>
      <c r="T265" s="465">
        <f>T266</f>
        <v>3933750</v>
      </c>
      <c r="U265" s="305">
        <f t="shared" si="72"/>
        <v>21239000</v>
      </c>
      <c r="V265" s="305">
        <f t="shared" si="73"/>
        <v>5502000</v>
      </c>
      <c r="W265" s="305"/>
      <c r="X265" s="305">
        <f t="shared" si="80"/>
        <v>0</v>
      </c>
      <c r="Y265" s="307">
        <f t="shared" si="82"/>
        <v>0.79424853221644665</v>
      </c>
    </row>
    <row r="266" spans="1:25" s="284" customFormat="1" ht="40.5" customHeight="1">
      <c r="A266" s="439">
        <v>7</v>
      </c>
      <c r="B266" s="440" t="s">
        <v>348</v>
      </c>
      <c r="C266" s="440" t="s">
        <v>357</v>
      </c>
      <c r="D266" s="333">
        <v>2</v>
      </c>
      <c r="E266" s="346" t="s">
        <v>357</v>
      </c>
      <c r="F266" s="346" t="s">
        <v>348</v>
      </c>
      <c r="G266" s="333">
        <v>5</v>
      </c>
      <c r="H266" s="333">
        <v>1</v>
      </c>
      <c r="I266" s="346" t="s">
        <v>350</v>
      </c>
      <c r="J266" s="346" t="s">
        <v>348</v>
      </c>
      <c r="K266" s="346" t="s">
        <v>348</v>
      </c>
      <c r="L266" s="349"/>
      <c r="M266" s="350"/>
      <c r="N266" s="476" t="s">
        <v>379</v>
      </c>
      <c r="O266" s="465">
        <f>SUM(O267:O269)</f>
        <v>26741000</v>
      </c>
      <c r="P266" s="465">
        <f>SUM(P267:P269)</f>
        <v>17305250</v>
      </c>
      <c r="Q266" s="465">
        <f>SUM(Q267:Q269)</f>
        <v>3933750</v>
      </c>
      <c r="R266" s="305">
        <f t="shared" si="71"/>
        <v>21239000</v>
      </c>
      <c r="S266" s="465">
        <f>SUM(S267:S269)</f>
        <v>17305250</v>
      </c>
      <c r="T266" s="465">
        <f>SUM(T267:T269)</f>
        <v>3933750</v>
      </c>
      <c r="U266" s="305">
        <f t="shared" si="72"/>
        <v>21239000</v>
      </c>
      <c r="V266" s="305">
        <f t="shared" si="73"/>
        <v>5502000</v>
      </c>
      <c r="W266" s="305"/>
      <c r="X266" s="305">
        <f t="shared" si="80"/>
        <v>0</v>
      </c>
      <c r="Y266" s="307">
        <f t="shared" si="82"/>
        <v>0.79424853221644665</v>
      </c>
    </row>
    <row r="267" spans="1:25" s="284" customFormat="1" ht="40.5" customHeight="1">
      <c r="A267" s="441">
        <v>7</v>
      </c>
      <c r="B267" s="442" t="s">
        <v>348</v>
      </c>
      <c r="C267" s="442" t="s">
        <v>357</v>
      </c>
      <c r="D267" s="349">
        <v>2</v>
      </c>
      <c r="E267" s="348" t="s">
        <v>357</v>
      </c>
      <c r="F267" s="348" t="s">
        <v>348</v>
      </c>
      <c r="G267" s="349">
        <v>5</v>
      </c>
      <c r="H267" s="349">
        <v>1</v>
      </c>
      <c r="I267" s="348" t="s">
        <v>350</v>
      </c>
      <c r="J267" s="348" t="s">
        <v>348</v>
      </c>
      <c r="K267" s="348" t="s">
        <v>348</v>
      </c>
      <c r="L267" s="348" t="s">
        <v>384</v>
      </c>
      <c r="M267" s="481" t="s">
        <v>338</v>
      </c>
      <c r="N267" s="351" t="s">
        <v>499</v>
      </c>
      <c r="O267" s="470">
        <f>'[8]SPJ FUNGSIONAL '!O273</f>
        <v>41000</v>
      </c>
      <c r="P267" s="353">
        <f>'[9]LRA SP2D'!$R$267</f>
        <v>41000</v>
      </c>
      <c r="Q267" s="353"/>
      <c r="R267" s="353">
        <f t="shared" si="71"/>
        <v>41000</v>
      </c>
      <c r="S267" s="353">
        <f>'[8]SPJ FUNGSIONAL '!V273</f>
        <v>41000</v>
      </c>
      <c r="T267" s="353">
        <f>'[8]SPJ FUNGSIONAL '!W273</f>
        <v>0</v>
      </c>
      <c r="U267" s="353">
        <f t="shared" si="72"/>
        <v>41000</v>
      </c>
      <c r="V267" s="353">
        <f t="shared" si="73"/>
        <v>0</v>
      </c>
      <c r="W267" s="353">
        <f t="shared" si="88"/>
        <v>0</v>
      </c>
      <c r="X267" s="353">
        <f t="shared" si="80"/>
        <v>0</v>
      </c>
      <c r="Y267" s="354">
        <f t="shared" si="82"/>
        <v>1</v>
      </c>
    </row>
    <row r="268" spans="1:25" s="284" customFormat="1" ht="40.5" customHeight="1">
      <c r="A268" s="441">
        <v>7</v>
      </c>
      <c r="B268" s="442" t="s">
        <v>348</v>
      </c>
      <c r="C268" s="442" t="s">
        <v>357</v>
      </c>
      <c r="D268" s="349">
        <v>2</v>
      </c>
      <c r="E268" s="348" t="s">
        <v>357</v>
      </c>
      <c r="F268" s="348" t="s">
        <v>348</v>
      </c>
      <c r="G268" s="349">
        <v>5</v>
      </c>
      <c r="H268" s="349">
        <v>1</v>
      </c>
      <c r="I268" s="348" t="s">
        <v>350</v>
      </c>
      <c r="J268" s="348" t="s">
        <v>348</v>
      </c>
      <c r="K268" s="348" t="s">
        <v>348</v>
      </c>
      <c r="L268" s="348" t="s">
        <v>384</v>
      </c>
      <c r="M268" s="350">
        <v>6</v>
      </c>
      <c r="N268" s="351" t="s">
        <v>501</v>
      </c>
      <c r="O268" s="470">
        <f>'[8]SPJ FUNGSIONAL '!O274</f>
        <v>35000</v>
      </c>
      <c r="P268" s="353">
        <f>'[9]LRA SP2D'!$R$268</f>
        <v>25000</v>
      </c>
      <c r="Q268" s="353"/>
      <c r="R268" s="353">
        <f t="shared" si="71"/>
        <v>25000</v>
      </c>
      <c r="S268" s="353">
        <f>'[8]SPJ FUNGSIONAL '!V274</f>
        <v>25000</v>
      </c>
      <c r="T268" s="353">
        <f>'[8]SPJ FUNGSIONAL '!W274</f>
        <v>0</v>
      </c>
      <c r="U268" s="353">
        <f t="shared" si="72"/>
        <v>25000</v>
      </c>
      <c r="V268" s="353">
        <f t="shared" si="73"/>
        <v>10000</v>
      </c>
      <c r="W268" s="353">
        <f t="shared" si="88"/>
        <v>0</v>
      </c>
      <c r="X268" s="353">
        <f t="shared" si="80"/>
        <v>0</v>
      </c>
      <c r="Y268" s="354">
        <f t="shared" si="82"/>
        <v>0.7142857142857143</v>
      </c>
    </row>
    <row r="269" spans="1:25" s="284" customFormat="1" ht="40.5" customHeight="1">
      <c r="A269" s="441">
        <v>7</v>
      </c>
      <c r="B269" s="442" t="s">
        <v>348</v>
      </c>
      <c r="C269" s="442" t="s">
        <v>357</v>
      </c>
      <c r="D269" s="349">
        <v>2</v>
      </c>
      <c r="E269" s="348" t="s">
        <v>357</v>
      </c>
      <c r="F269" s="348" t="s">
        <v>348</v>
      </c>
      <c r="G269" s="349">
        <v>5</v>
      </c>
      <c r="H269" s="349">
        <v>1</v>
      </c>
      <c r="I269" s="348" t="s">
        <v>350</v>
      </c>
      <c r="J269" s="348" t="s">
        <v>348</v>
      </c>
      <c r="K269" s="348" t="s">
        <v>348</v>
      </c>
      <c r="L269" s="348" t="s">
        <v>393</v>
      </c>
      <c r="M269" s="350">
        <v>2</v>
      </c>
      <c r="N269" s="351" t="s">
        <v>492</v>
      </c>
      <c r="O269" s="470">
        <f>'[8]SPJ FUNGSIONAL '!O275</f>
        <v>26665000</v>
      </c>
      <c r="P269" s="353">
        <f>'[9]LRA SP2D'!$R$269</f>
        <v>17239250</v>
      </c>
      <c r="Q269" s="353">
        <f>T269</f>
        <v>3933750</v>
      </c>
      <c r="R269" s="353">
        <f t="shared" si="71"/>
        <v>21173000</v>
      </c>
      <c r="S269" s="353">
        <f>'[8]SPJ FUNGSIONAL '!V275</f>
        <v>17239250</v>
      </c>
      <c r="T269" s="353">
        <f>'[8]SPJ FUNGSIONAL '!W275</f>
        <v>3933750</v>
      </c>
      <c r="U269" s="353">
        <f t="shared" si="72"/>
        <v>21173000</v>
      </c>
      <c r="V269" s="353">
        <f t="shared" si="73"/>
        <v>5492000</v>
      </c>
      <c r="W269" s="353"/>
      <c r="X269" s="353">
        <f t="shared" si="80"/>
        <v>0</v>
      </c>
      <c r="Y269" s="354">
        <f t="shared" si="82"/>
        <v>0.7940371273204575</v>
      </c>
    </row>
    <row r="270" spans="1:25" s="284" customFormat="1" ht="40.5" customHeight="1">
      <c r="A270" s="439">
        <v>7</v>
      </c>
      <c r="B270" s="440" t="s">
        <v>348</v>
      </c>
      <c r="C270" s="440" t="s">
        <v>357</v>
      </c>
      <c r="D270" s="333">
        <v>2</v>
      </c>
      <c r="E270" s="346" t="s">
        <v>357</v>
      </c>
      <c r="F270" s="346" t="s">
        <v>348</v>
      </c>
      <c r="G270" s="333">
        <v>5</v>
      </c>
      <c r="H270" s="333">
        <v>1</v>
      </c>
      <c r="I270" s="346" t="s">
        <v>350</v>
      </c>
      <c r="J270" s="346" t="s">
        <v>350</v>
      </c>
      <c r="K270" s="333"/>
      <c r="L270" s="349"/>
      <c r="M270" s="350"/>
      <c r="N270" s="476" t="s">
        <v>391</v>
      </c>
      <c r="O270" s="465">
        <f>O271</f>
        <v>2142000000</v>
      </c>
      <c r="P270" s="465">
        <f>P271</f>
        <v>1784700000</v>
      </c>
      <c r="Q270" s="465">
        <f>Q271</f>
        <v>255000000</v>
      </c>
      <c r="R270" s="305">
        <f t="shared" si="71"/>
        <v>2039700000</v>
      </c>
      <c r="S270" s="465">
        <f>S271</f>
        <v>1784700000</v>
      </c>
      <c r="T270" s="465">
        <f>T271</f>
        <v>357000000</v>
      </c>
      <c r="U270" s="305">
        <f t="shared" si="72"/>
        <v>2141700000</v>
      </c>
      <c r="V270" s="305">
        <f t="shared" si="73"/>
        <v>300000</v>
      </c>
      <c r="W270" s="305"/>
      <c r="X270" s="305">
        <f t="shared" si="80"/>
        <v>-102000000</v>
      </c>
      <c r="Y270" s="307">
        <f t="shared" si="82"/>
        <v>0.99985994397759104</v>
      </c>
    </row>
    <row r="271" spans="1:25" s="284" customFormat="1" ht="40.5" customHeight="1">
      <c r="A271" s="439">
        <v>7</v>
      </c>
      <c r="B271" s="440" t="s">
        <v>348</v>
      </c>
      <c r="C271" s="440" t="s">
        <v>357</v>
      </c>
      <c r="D271" s="333">
        <v>2</v>
      </c>
      <c r="E271" s="346" t="s">
        <v>357</v>
      </c>
      <c r="F271" s="346" t="s">
        <v>348</v>
      </c>
      <c r="G271" s="333">
        <v>5</v>
      </c>
      <c r="H271" s="333">
        <v>1</v>
      </c>
      <c r="I271" s="346" t="s">
        <v>350</v>
      </c>
      <c r="J271" s="346" t="s">
        <v>350</v>
      </c>
      <c r="K271" s="346" t="s">
        <v>348</v>
      </c>
      <c r="L271" s="349"/>
      <c r="M271" s="350"/>
      <c r="N271" s="476" t="s">
        <v>459</v>
      </c>
      <c r="O271" s="465">
        <f>SUM(O272:O272)</f>
        <v>2142000000</v>
      </c>
      <c r="P271" s="465">
        <f>SUM(P272:P272)</f>
        <v>1784700000</v>
      </c>
      <c r="Q271" s="465">
        <f>SUM(Q272:Q272)</f>
        <v>255000000</v>
      </c>
      <c r="R271" s="305">
        <f t="shared" si="71"/>
        <v>2039700000</v>
      </c>
      <c r="S271" s="465">
        <f>SUM(S272:S272)</f>
        <v>1784700000</v>
      </c>
      <c r="T271" s="465">
        <f>SUM(T272:T272)</f>
        <v>357000000</v>
      </c>
      <c r="U271" s="305">
        <f t="shared" si="72"/>
        <v>2141700000</v>
      </c>
      <c r="V271" s="305">
        <f t="shared" si="73"/>
        <v>300000</v>
      </c>
      <c r="W271" s="305"/>
      <c r="X271" s="305">
        <f t="shared" si="80"/>
        <v>-102000000</v>
      </c>
      <c r="Y271" s="307">
        <f t="shared" si="82"/>
        <v>0.99985994397759104</v>
      </c>
    </row>
    <row r="272" spans="1:25" s="284" customFormat="1" ht="40.5" customHeight="1">
      <c r="A272" s="441">
        <v>7</v>
      </c>
      <c r="B272" s="442" t="s">
        <v>348</v>
      </c>
      <c r="C272" s="442" t="s">
        <v>357</v>
      </c>
      <c r="D272" s="349">
        <v>2</v>
      </c>
      <c r="E272" s="348" t="s">
        <v>357</v>
      </c>
      <c r="F272" s="348" t="s">
        <v>348</v>
      </c>
      <c r="G272" s="349">
        <v>5</v>
      </c>
      <c r="H272" s="349">
        <v>1</v>
      </c>
      <c r="I272" s="348" t="s">
        <v>350</v>
      </c>
      <c r="J272" s="348" t="s">
        <v>350</v>
      </c>
      <c r="K272" s="348" t="s">
        <v>348</v>
      </c>
      <c r="L272" s="348" t="s">
        <v>354</v>
      </c>
      <c r="M272" s="350">
        <v>6</v>
      </c>
      <c r="N272" s="475" t="s">
        <v>515</v>
      </c>
      <c r="O272" s="470">
        <f>'[8]SPJ FUNGSIONAL '!O278</f>
        <v>2142000000</v>
      </c>
      <c r="P272" s="353">
        <f>'[9]LRA SP2D'!$R$272</f>
        <v>1784700000</v>
      </c>
      <c r="Q272" s="353">
        <v>255000000</v>
      </c>
      <c r="R272" s="353">
        <f t="shared" si="71"/>
        <v>2039700000</v>
      </c>
      <c r="S272" s="353">
        <f>'[8]SPJ FUNGSIONAL '!V278</f>
        <v>1784700000</v>
      </c>
      <c r="T272" s="353">
        <f>'[8]SPJ FUNGSIONAL '!W278</f>
        <v>357000000</v>
      </c>
      <c r="U272" s="353">
        <f t="shared" si="72"/>
        <v>2141700000</v>
      </c>
      <c r="V272" s="353">
        <f t="shared" si="73"/>
        <v>300000</v>
      </c>
      <c r="W272" s="353"/>
      <c r="X272" s="353">
        <f t="shared" si="80"/>
        <v>-102000000</v>
      </c>
      <c r="Y272" s="354">
        <f t="shared" si="82"/>
        <v>0.99985994397759104</v>
      </c>
    </row>
    <row r="273" spans="1:25" s="284" customFormat="1" ht="25" customHeight="1">
      <c r="A273" s="319"/>
      <c r="B273" s="320"/>
      <c r="C273" s="320"/>
      <c r="D273" s="485"/>
      <c r="E273" s="485"/>
      <c r="F273" s="485"/>
      <c r="G273" s="485"/>
      <c r="H273" s="485"/>
      <c r="I273" s="485"/>
      <c r="J273" s="485"/>
      <c r="K273" s="485"/>
      <c r="L273" s="486"/>
      <c r="M273" s="487"/>
      <c r="N273" s="476"/>
      <c r="O273" s="470"/>
      <c r="P273" s="353"/>
      <c r="Q273" s="353"/>
      <c r="R273" s="353"/>
      <c r="S273" s="353"/>
      <c r="T273" s="353"/>
      <c r="U273" s="353"/>
      <c r="V273" s="353"/>
      <c r="W273" s="353"/>
      <c r="X273" s="353"/>
      <c r="Y273" s="354"/>
    </row>
    <row r="274" spans="1:25" s="284" customFormat="1" ht="39.75" customHeight="1">
      <c r="A274" s="419">
        <v>7</v>
      </c>
      <c r="B274" s="420" t="s">
        <v>348</v>
      </c>
      <c r="C274" s="420" t="s">
        <v>382</v>
      </c>
      <c r="D274" s="421"/>
      <c r="E274" s="421"/>
      <c r="F274" s="421"/>
      <c r="G274" s="421"/>
      <c r="H274" s="421"/>
      <c r="I274" s="421"/>
      <c r="J274" s="421"/>
      <c r="K274" s="421"/>
      <c r="L274" s="421"/>
      <c r="M274" s="422"/>
      <c r="N274" s="423" t="s">
        <v>516</v>
      </c>
      <c r="O274" s="424">
        <f>O276</f>
        <v>26675000</v>
      </c>
      <c r="P274" s="490">
        <f>P276</f>
        <v>10868700</v>
      </c>
      <c r="Q274" s="490">
        <f>Q276</f>
        <v>12118750</v>
      </c>
      <c r="R274" s="315">
        <f t="shared" si="71"/>
        <v>22987450</v>
      </c>
      <c r="S274" s="490">
        <f>S276</f>
        <v>15582450</v>
      </c>
      <c r="T274" s="490">
        <f>T276</f>
        <v>7405000</v>
      </c>
      <c r="U274" s="315">
        <f t="shared" si="72"/>
        <v>22987450</v>
      </c>
      <c r="V274" s="315">
        <f t="shared" si="73"/>
        <v>3687550</v>
      </c>
      <c r="W274" s="315"/>
      <c r="X274" s="315">
        <f t="shared" si="80"/>
        <v>0</v>
      </c>
      <c r="Y274" s="425">
        <f t="shared" si="82"/>
        <v>0.86176007497656981</v>
      </c>
    </row>
    <row r="275" spans="1:25" s="284" customFormat="1" ht="25" customHeight="1">
      <c r="A275" s="414"/>
      <c r="B275" s="415"/>
      <c r="C275" s="415"/>
      <c r="D275" s="415"/>
      <c r="E275" s="415"/>
      <c r="F275" s="415"/>
      <c r="G275" s="415"/>
      <c r="H275" s="415"/>
      <c r="I275" s="415"/>
      <c r="J275" s="415"/>
      <c r="K275" s="415"/>
      <c r="L275" s="415"/>
      <c r="M275" s="416"/>
      <c r="N275" s="417"/>
      <c r="O275" s="431"/>
      <c r="P275" s="432"/>
      <c r="Q275" s="432"/>
      <c r="R275" s="305"/>
      <c r="S275" s="432"/>
      <c r="T275" s="432"/>
      <c r="U275" s="305"/>
      <c r="V275" s="305"/>
      <c r="W275" s="305"/>
      <c r="X275" s="305"/>
      <c r="Y275" s="307"/>
    </row>
    <row r="276" spans="1:25" s="284" customFormat="1" ht="43.5" customHeight="1">
      <c r="A276" s="426">
        <v>7</v>
      </c>
      <c r="B276" s="427" t="s">
        <v>348</v>
      </c>
      <c r="C276" s="427" t="s">
        <v>382</v>
      </c>
      <c r="D276" s="427" t="s">
        <v>397</v>
      </c>
      <c r="E276" s="427" t="s">
        <v>348</v>
      </c>
      <c r="F276" s="428"/>
      <c r="G276" s="428"/>
      <c r="H276" s="428"/>
      <c r="I276" s="428"/>
      <c r="J276" s="428"/>
      <c r="K276" s="428"/>
      <c r="L276" s="428"/>
      <c r="M276" s="443"/>
      <c r="N276" s="328" t="s">
        <v>517</v>
      </c>
      <c r="O276" s="444">
        <f>O278+O407+O461+O485</f>
        <v>26675000</v>
      </c>
      <c r="P276" s="445">
        <f>P278+P407+P461+P485</f>
        <v>10868700</v>
      </c>
      <c r="Q276" s="445">
        <f>Q278+Q407+Q461+Q485</f>
        <v>12118750</v>
      </c>
      <c r="R276" s="330">
        <f t="shared" si="71"/>
        <v>22987450</v>
      </c>
      <c r="S276" s="445">
        <f>S278+S407+S461+S485</f>
        <v>15582450</v>
      </c>
      <c r="T276" s="445">
        <f>T278+T407+T461+T485</f>
        <v>7405000</v>
      </c>
      <c r="U276" s="330">
        <f t="shared" si="72"/>
        <v>22987450</v>
      </c>
      <c r="V276" s="330">
        <f t="shared" si="73"/>
        <v>3687550</v>
      </c>
      <c r="W276" s="330"/>
      <c r="X276" s="330">
        <f t="shared" si="80"/>
        <v>0</v>
      </c>
      <c r="Y276" s="331">
        <f t="shared" si="82"/>
        <v>0.86176007497656981</v>
      </c>
    </row>
    <row r="277" spans="1:25" s="284" customFormat="1" ht="25" customHeight="1">
      <c r="A277" s="446"/>
      <c r="B277" s="447"/>
      <c r="C277" s="447"/>
      <c r="D277" s="447"/>
      <c r="E277" s="447"/>
      <c r="F277" s="447"/>
      <c r="G277" s="447"/>
      <c r="H277" s="447"/>
      <c r="I277" s="447"/>
      <c r="J277" s="447"/>
      <c r="K277" s="447"/>
      <c r="L277" s="447"/>
      <c r="M277" s="448"/>
      <c r="N277" s="302"/>
      <c r="O277" s="322"/>
      <c r="P277" s="323"/>
      <c r="Q277" s="323"/>
      <c r="R277" s="305"/>
      <c r="S277" s="323"/>
      <c r="T277" s="323"/>
      <c r="U277" s="305"/>
      <c r="V277" s="305"/>
      <c r="W277" s="305"/>
      <c r="X277" s="305"/>
      <c r="Y277" s="307"/>
    </row>
    <row r="278" spans="1:25" s="284" customFormat="1" ht="57" customHeight="1">
      <c r="A278" s="433">
        <v>7</v>
      </c>
      <c r="B278" s="434" t="s">
        <v>348</v>
      </c>
      <c r="C278" s="434" t="s">
        <v>382</v>
      </c>
      <c r="D278" s="340">
        <v>2</v>
      </c>
      <c r="E278" s="339" t="s">
        <v>350</v>
      </c>
      <c r="F278" s="339" t="s">
        <v>348</v>
      </c>
      <c r="G278" s="488"/>
      <c r="H278" s="488"/>
      <c r="I278" s="488"/>
      <c r="J278" s="488"/>
      <c r="K278" s="488"/>
      <c r="L278" s="488"/>
      <c r="M278" s="489"/>
      <c r="N278" s="370" t="s">
        <v>518</v>
      </c>
      <c r="O278" s="343">
        <f t="shared" ref="O278:Q279" si="91">O279</f>
        <v>26675000</v>
      </c>
      <c r="P278" s="344">
        <f t="shared" si="91"/>
        <v>10868700</v>
      </c>
      <c r="Q278" s="344">
        <f t="shared" si="91"/>
        <v>12118750</v>
      </c>
      <c r="R278" s="344">
        <f t="shared" si="71"/>
        <v>22987450</v>
      </c>
      <c r="S278" s="344">
        <f>S279</f>
        <v>15582450</v>
      </c>
      <c r="T278" s="344">
        <f>T279</f>
        <v>7405000</v>
      </c>
      <c r="U278" s="344">
        <f t="shared" si="72"/>
        <v>22987450</v>
      </c>
      <c r="V278" s="344">
        <f t="shared" si="73"/>
        <v>3687550</v>
      </c>
      <c r="W278" s="344"/>
      <c r="X278" s="344">
        <f t="shared" si="80"/>
        <v>0</v>
      </c>
      <c r="Y278" s="371">
        <f t="shared" si="82"/>
        <v>0.86176007497656981</v>
      </c>
    </row>
    <row r="279" spans="1:25" s="284" customFormat="1" ht="40.5" customHeight="1">
      <c r="A279" s="439">
        <v>7</v>
      </c>
      <c r="B279" s="440" t="s">
        <v>348</v>
      </c>
      <c r="C279" s="440" t="s">
        <v>382</v>
      </c>
      <c r="D279" s="333">
        <v>2</v>
      </c>
      <c r="E279" s="346" t="s">
        <v>350</v>
      </c>
      <c r="F279" s="346" t="s">
        <v>348</v>
      </c>
      <c r="G279" s="333">
        <v>5</v>
      </c>
      <c r="H279" s="333">
        <v>1</v>
      </c>
      <c r="I279" s="346" t="s">
        <v>350</v>
      </c>
      <c r="J279" s="333"/>
      <c r="K279" s="333"/>
      <c r="L279" s="349"/>
      <c r="M279" s="350"/>
      <c r="N279" s="476" t="s">
        <v>489</v>
      </c>
      <c r="O279" s="465">
        <f t="shared" si="91"/>
        <v>26675000</v>
      </c>
      <c r="P279" s="465">
        <f t="shared" si="91"/>
        <v>10868700</v>
      </c>
      <c r="Q279" s="465">
        <f t="shared" si="91"/>
        <v>12118750</v>
      </c>
      <c r="R279" s="305">
        <f t="shared" si="71"/>
        <v>22987450</v>
      </c>
      <c r="S279" s="465">
        <f>S280</f>
        <v>15582450</v>
      </c>
      <c r="T279" s="465">
        <f>T280</f>
        <v>7405000</v>
      </c>
      <c r="U279" s="305">
        <f t="shared" si="72"/>
        <v>22987450</v>
      </c>
      <c r="V279" s="305">
        <f t="shared" si="73"/>
        <v>3687550</v>
      </c>
      <c r="W279" s="305"/>
      <c r="X279" s="305">
        <f t="shared" si="80"/>
        <v>0</v>
      </c>
      <c r="Y279" s="307">
        <f t="shared" si="82"/>
        <v>0.86176007497656981</v>
      </c>
    </row>
    <row r="280" spans="1:25" s="284" customFormat="1" ht="40.5" customHeight="1">
      <c r="A280" s="439">
        <v>7</v>
      </c>
      <c r="B280" s="440" t="s">
        <v>348</v>
      </c>
      <c r="C280" s="440" t="s">
        <v>382</v>
      </c>
      <c r="D280" s="333">
        <v>2</v>
      </c>
      <c r="E280" s="346" t="s">
        <v>350</v>
      </c>
      <c r="F280" s="346" t="s">
        <v>348</v>
      </c>
      <c r="G280" s="333">
        <v>5</v>
      </c>
      <c r="H280" s="333">
        <v>1</v>
      </c>
      <c r="I280" s="346" t="s">
        <v>350</v>
      </c>
      <c r="J280" s="346" t="s">
        <v>348</v>
      </c>
      <c r="K280" s="333"/>
      <c r="L280" s="349"/>
      <c r="M280" s="350"/>
      <c r="N280" s="476" t="s">
        <v>398</v>
      </c>
      <c r="O280" s="465">
        <f>O281+O285</f>
        <v>26675000</v>
      </c>
      <c r="P280" s="465">
        <f>P281+P285</f>
        <v>10868700</v>
      </c>
      <c r="Q280" s="465">
        <f>Q281+Q285</f>
        <v>12118750</v>
      </c>
      <c r="R280" s="305">
        <f t="shared" si="71"/>
        <v>22987450</v>
      </c>
      <c r="S280" s="465">
        <f>S281+S285</f>
        <v>15582450</v>
      </c>
      <c r="T280" s="465">
        <f>T281+T285</f>
        <v>7405000</v>
      </c>
      <c r="U280" s="305">
        <f t="shared" si="72"/>
        <v>22987450</v>
      </c>
      <c r="V280" s="305">
        <f t="shared" si="73"/>
        <v>3687550</v>
      </c>
      <c r="W280" s="305"/>
      <c r="X280" s="305">
        <f t="shared" si="80"/>
        <v>0</v>
      </c>
      <c r="Y280" s="307">
        <f t="shared" si="82"/>
        <v>0.86176007497656981</v>
      </c>
    </row>
    <row r="281" spans="1:25" s="284" customFormat="1" ht="40.5" customHeight="1">
      <c r="A281" s="439">
        <v>7</v>
      </c>
      <c r="B281" s="440" t="s">
        <v>348</v>
      </c>
      <c r="C281" s="440" t="s">
        <v>382</v>
      </c>
      <c r="D281" s="333">
        <v>2</v>
      </c>
      <c r="E281" s="346" t="s">
        <v>350</v>
      </c>
      <c r="F281" s="346" t="s">
        <v>348</v>
      </c>
      <c r="G281" s="333">
        <v>5</v>
      </c>
      <c r="H281" s="333">
        <v>1</v>
      </c>
      <c r="I281" s="346" t="s">
        <v>350</v>
      </c>
      <c r="J281" s="346" t="s">
        <v>348</v>
      </c>
      <c r="K281" s="346" t="s">
        <v>348</v>
      </c>
      <c r="L281" s="349"/>
      <c r="M281" s="350"/>
      <c r="N281" s="476" t="s">
        <v>379</v>
      </c>
      <c r="O281" s="465">
        <f>SUM(O282:O284)</f>
        <v>13625000</v>
      </c>
      <c r="P281" s="465">
        <f>SUM(P282:P284)</f>
        <v>3668700</v>
      </c>
      <c r="Q281" s="465">
        <f>SUM(Q282:Q284)</f>
        <v>7218750</v>
      </c>
      <c r="R281" s="305">
        <f t="shared" si="71"/>
        <v>10887450</v>
      </c>
      <c r="S281" s="465">
        <f>SUM(S282:S284)</f>
        <v>6582450</v>
      </c>
      <c r="T281" s="465">
        <f>SUM(T282:T284)</f>
        <v>4305000</v>
      </c>
      <c r="U281" s="305">
        <f>S281+T281</f>
        <v>10887450</v>
      </c>
      <c r="V281" s="305">
        <f t="shared" si="73"/>
        <v>2737550</v>
      </c>
      <c r="W281" s="305"/>
      <c r="X281" s="305">
        <f t="shared" si="80"/>
        <v>0</v>
      </c>
      <c r="Y281" s="307">
        <f t="shared" si="82"/>
        <v>0.79907889908256879</v>
      </c>
    </row>
    <row r="282" spans="1:25" s="284" customFormat="1" ht="40.5" customHeight="1">
      <c r="A282" s="441">
        <v>7</v>
      </c>
      <c r="B282" s="442" t="s">
        <v>348</v>
      </c>
      <c r="C282" s="442" t="s">
        <v>382</v>
      </c>
      <c r="D282" s="349">
        <v>2</v>
      </c>
      <c r="E282" s="348" t="s">
        <v>350</v>
      </c>
      <c r="F282" s="348" t="s">
        <v>348</v>
      </c>
      <c r="G282" s="349">
        <v>5</v>
      </c>
      <c r="H282" s="349">
        <v>1</v>
      </c>
      <c r="I282" s="348" t="s">
        <v>350</v>
      </c>
      <c r="J282" s="348" t="s">
        <v>348</v>
      </c>
      <c r="K282" s="348" t="s">
        <v>348</v>
      </c>
      <c r="L282" s="348" t="s">
        <v>384</v>
      </c>
      <c r="M282" s="350">
        <v>6</v>
      </c>
      <c r="N282" s="351" t="s">
        <v>501</v>
      </c>
      <c r="O282" s="470">
        <f>'[8]SPJ FUNGSIONAL '!O288</f>
        <v>0</v>
      </c>
      <c r="P282" s="353"/>
      <c r="Q282" s="353"/>
      <c r="R282" s="353">
        <f t="shared" si="71"/>
        <v>0</v>
      </c>
      <c r="S282" s="353"/>
      <c r="T282" s="353">
        <f>'[8]SPJ FUNGSIONAL '!W288</f>
        <v>0</v>
      </c>
      <c r="U282" s="353">
        <f t="shared" si="72"/>
        <v>0</v>
      </c>
      <c r="V282" s="353">
        <f t="shared" si="73"/>
        <v>0</v>
      </c>
      <c r="W282" s="353"/>
      <c r="X282" s="353">
        <f t="shared" si="80"/>
        <v>0</v>
      </c>
      <c r="Y282" s="354">
        <v>0</v>
      </c>
    </row>
    <row r="283" spans="1:25" s="284" customFormat="1" ht="40.5" customHeight="1">
      <c r="A283" s="441">
        <v>7</v>
      </c>
      <c r="B283" s="442" t="s">
        <v>348</v>
      </c>
      <c r="C283" s="442" t="s">
        <v>382</v>
      </c>
      <c r="D283" s="349">
        <v>2</v>
      </c>
      <c r="E283" s="348" t="s">
        <v>350</v>
      </c>
      <c r="F283" s="348" t="s">
        <v>348</v>
      </c>
      <c r="G283" s="349">
        <v>5</v>
      </c>
      <c r="H283" s="349">
        <v>1</v>
      </c>
      <c r="I283" s="348" t="s">
        <v>350</v>
      </c>
      <c r="J283" s="348" t="s">
        <v>348</v>
      </c>
      <c r="K283" s="348" t="s">
        <v>348</v>
      </c>
      <c r="L283" s="348" t="s">
        <v>380</v>
      </c>
      <c r="M283" s="350">
        <v>6</v>
      </c>
      <c r="N283" s="367" t="s">
        <v>519</v>
      </c>
      <c r="O283" s="470">
        <f>'[8]SPJ FUNGSIONAL '!O289</f>
        <v>0</v>
      </c>
      <c r="P283" s="353"/>
      <c r="Q283" s="353"/>
      <c r="R283" s="353"/>
      <c r="S283" s="353"/>
      <c r="T283" s="353"/>
      <c r="U283" s="353"/>
      <c r="V283" s="353"/>
      <c r="W283" s="353">
        <f t="shared" ref="W283" si="92">R283-U283</f>
        <v>0</v>
      </c>
      <c r="X283" s="353">
        <f t="shared" si="80"/>
        <v>0</v>
      </c>
      <c r="Y283" s="354">
        <v>0</v>
      </c>
    </row>
    <row r="284" spans="1:25" s="284" customFormat="1" ht="40.5" customHeight="1">
      <c r="A284" s="441">
        <v>7</v>
      </c>
      <c r="B284" s="442" t="s">
        <v>348</v>
      </c>
      <c r="C284" s="442" t="s">
        <v>382</v>
      </c>
      <c r="D284" s="349">
        <v>2</v>
      </c>
      <c r="E284" s="348" t="s">
        <v>350</v>
      </c>
      <c r="F284" s="348" t="s">
        <v>348</v>
      </c>
      <c r="G284" s="349">
        <v>5</v>
      </c>
      <c r="H284" s="349">
        <v>1</v>
      </c>
      <c r="I284" s="348" t="s">
        <v>350</v>
      </c>
      <c r="J284" s="348" t="s">
        <v>348</v>
      </c>
      <c r="K284" s="348" t="s">
        <v>348</v>
      </c>
      <c r="L284" s="348" t="s">
        <v>393</v>
      </c>
      <c r="M284" s="487">
        <v>2</v>
      </c>
      <c r="N284" s="475" t="s">
        <v>492</v>
      </c>
      <c r="O284" s="470">
        <f>'[8]SPJ FUNGSIONAL '!O290</f>
        <v>13625000</v>
      </c>
      <c r="P284" s="353">
        <f>'[9]LRA SP2D'!$R$284</f>
        <v>3668700</v>
      </c>
      <c r="Q284" s="353">
        <v>7218750</v>
      </c>
      <c r="R284" s="353">
        <f t="shared" ref="R284:R291" si="93">P284+Q284</f>
        <v>10887450</v>
      </c>
      <c r="S284" s="353">
        <f>'[8]SPJ FUNGSIONAL '!V290</f>
        <v>6582450</v>
      </c>
      <c r="T284" s="353">
        <f>'[8]SPJ FUNGSIONAL '!W290</f>
        <v>4305000</v>
      </c>
      <c r="U284" s="353">
        <f t="shared" ref="U284:U291" si="94">S284+T284</f>
        <v>10887450</v>
      </c>
      <c r="V284" s="353">
        <f t="shared" ref="V284:V291" si="95">O284-U284</f>
        <v>2737550</v>
      </c>
      <c r="W284" s="353"/>
      <c r="X284" s="353">
        <f t="shared" si="80"/>
        <v>0</v>
      </c>
      <c r="Y284" s="354">
        <f t="shared" ref="Y284" si="96">U284/O284*100%</f>
        <v>0.79907889908256879</v>
      </c>
    </row>
    <row r="285" spans="1:25" s="284" customFormat="1" ht="40.5" customHeight="1">
      <c r="A285" s="439">
        <v>7</v>
      </c>
      <c r="B285" s="440" t="s">
        <v>348</v>
      </c>
      <c r="C285" s="440" t="s">
        <v>382</v>
      </c>
      <c r="D285" s="333">
        <v>2</v>
      </c>
      <c r="E285" s="346" t="s">
        <v>350</v>
      </c>
      <c r="F285" s="346" t="s">
        <v>348</v>
      </c>
      <c r="G285" s="333">
        <v>5</v>
      </c>
      <c r="H285" s="333">
        <v>1</v>
      </c>
      <c r="I285" s="346" t="s">
        <v>350</v>
      </c>
      <c r="J285" s="346" t="s">
        <v>382</v>
      </c>
      <c r="K285" s="333"/>
      <c r="L285" s="349"/>
      <c r="M285" s="350"/>
      <c r="N285" s="476" t="s">
        <v>400</v>
      </c>
      <c r="O285" s="465">
        <f>O286</f>
        <v>13050000</v>
      </c>
      <c r="P285" s="465">
        <f t="shared" ref="P285:Q286" si="97">P286</f>
        <v>7200000</v>
      </c>
      <c r="Q285" s="465">
        <f t="shared" si="97"/>
        <v>4900000</v>
      </c>
      <c r="R285" s="305">
        <f t="shared" si="93"/>
        <v>12100000</v>
      </c>
      <c r="S285" s="465">
        <f t="shared" ref="S285:T286" si="98">S286</f>
        <v>9000000</v>
      </c>
      <c r="T285" s="465">
        <f t="shared" si="98"/>
        <v>3100000</v>
      </c>
      <c r="U285" s="305">
        <f t="shared" si="94"/>
        <v>12100000</v>
      </c>
      <c r="V285" s="305">
        <f t="shared" si="95"/>
        <v>950000</v>
      </c>
      <c r="W285" s="305"/>
      <c r="X285" s="305">
        <f t="shared" si="80"/>
        <v>0</v>
      </c>
      <c r="Y285" s="307">
        <f t="shared" si="82"/>
        <v>0.92720306513409967</v>
      </c>
    </row>
    <row r="286" spans="1:25" s="284" customFormat="1" ht="40.5" customHeight="1">
      <c r="A286" s="439">
        <v>7</v>
      </c>
      <c r="B286" s="440" t="s">
        <v>348</v>
      </c>
      <c r="C286" s="440" t="s">
        <v>382</v>
      </c>
      <c r="D286" s="333">
        <v>2</v>
      </c>
      <c r="E286" s="346" t="s">
        <v>350</v>
      </c>
      <c r="F286" s="346" t="s">
        <v>348</v>
      </c>
      <c r="G286" s="333">
        <v>5</v>
      </c>
      <c r="H286" s="333">
        <v>1</v>
      </c>
      <c r="I286" s="346" t="s">
        <v>350</v>
      </c>
      <c r="J286" s="346" t="s">
        <v>382</v>
      </c>
      <c r="K286" s="346" t="s">
        <v>348</v>
      </c>
      <c r="L286" s="349"/>
      <c r="M286" s="350"/>
      <c r="N286" s="476" t="s">
        <v>401</v>
      </c>
      <c r="O286" s="465">
        <f>O287</f>
        <v>13050000</v>
      </c>
      <c r="P286" s="465">
        <f t="shared" si="97"/>
        <v>7200000</v>
      </c>
      <c r="Q286" s="465">
        <f t="shared" si="97"/>
        <v>4900000</v>
      </c>
      <c r="R286" s="305">
        <f t="shared" si="93"/>
        <v>12100000</v>
      </c>
      <c r="S286" s="465">
        <f t="shared" si="98"/>
        <v>9000000</v>
      </c>
      <c r="T286" s="465">
        <f t="shared" si="98"/>
        <v>3100000</v>
      </c>
      <c r="U286" s="305">
        <f t="shared" si="94"/>
        <v>12100000</v>
      </c>
      <c r="V286" s="305">
        <f t="shared" si="95"/>
        <v>950000</v>
      </c>
      <c r="W286" s="305"/>
      <c r="X286" s="305">
        <f t="shared" si="80"/>
        <v>0</v>
      </c>
      <c r="Y286" s="307">
        <f t="shared" si="82"/>
        <v>0.92720306513409967</v>
      </c>
    </row>
    <row r="287" spans="1:25" s="284" customFormat="1" ht="40.5" customHeight="1">
      <c r="A287" s="441">
        <v>7</v>
      </c>
      <c r="B287" s="442" t="s">
        <v>348</v>
      </c>
      <c r="C287" s="442" t="s">
        <v>382</v>
      </c>
      <c r="D287" s="349">
        <v>2</v>
      </c>
      <c r="E287" s="348" t="s">
        <v>350</v>
      </c>
      <c r="F287" s="348" t="s">
        <v>348</v>
      </c>
      <c r="G287" s="349">
        <v>5</v>
      </c>
      <c r="H287" s="349">
        <v>1</v>
      </c>
      <c r="I287" s="348" t="s">
        <v>350</v>
      </c>
      <c r="J287" s="348" t="s">
        <v>382</v>
      </c>
      <c r="K287" s="348" t="s">
        <v>348</v>
      </c>
      <c r="L287" s="348" t="s">
        <v>354</v>
      </c>
      <c r="M287" s="350">
        <v>3</v>
      </c>
      <c r="N287" s="475" t="s">
        <v>520</v>
      </c>
      <c r="O287" s="470">
        <f>'[8]SPJ FUNGSIONAL '!O293</f>
        <v>13050000</v>
      </c>
      <c r="P287" s="353">
        <f>'[9]LRA SP2D'!$R$287</f>
        <v>7200000</v>
      </c>
      <c r="Q287" s="353">
        <v>4900000</v>
      </c>
      <c r="R287" s="353">
        <f t="shared" si="93"/>
        <v>12100000</v>
      </c>
      <c r="S287" s="353">
        <f>'[8]SPJ FUNGSIONAL '!V293</f>
        <v>9000000</v>
      </c>
      <c r="T287" s="353">
        <f>'[8]SPJ FUNGSIONAL '!W293</f>
        <v>3100000</v>
      </c>
      <c r="U287" s="353">
        <f t="shared" si="94"/>
        <v>12100000</v>
      </c>
      <c r="V287" s="353">
        <f t="shared" si="95"/>
        <v>950000</v>
      </c>
      <c r="W287" s="353"/>
      <c r="X287" s="353">
        <f t="shared" si="80"/>
        <v>0</v>
      </c>
      <c r="Y287" s="354">
        <f t="shared" si="82"/>
        <v>0.92720306513409967</v>
      </c>
    </row>
    <row r="288" spans="1:25" s="284" customFormat="1" ht="25" customHeight="1">
      <c r="A288" s="319"/>
      <c r="B288" s="320"/>
      <c r="C288" s="320"/>
      <c r="D288" s="485"/>
      <c r="E288" s="485"/>
      <c r="F288" s="485"/>
      <c r="G288" s="485"/>
      <c r="H288" s="485"/>
      <c r="I288" s="485"/>
      <c r="J288" s="485"/>
      <c r="K288" s="485"/>
      <c r="L288" s="486"/>
      <c r="M288" s="487"/>
      <c r="N288" s="476"/>
      <c r="O288" s="470"/>
      <c r="P288" s="353"/>
      <c r="Q288" s="353"/>
      <c r="R288" s="353"/>
      <c r="S288" s="353"/>
      <c r="T288" s="353"/>
      <c r="U288" s="353"/>
      <c r="V288" s="353"/>
      <c r="W288" s="353"/>
      <c r="X288" s="353"/>
      <c r="Y288" s="354"/>
    </row>
    <row r="289" spans="1:25" s="284" customFormat="1" ht="40.5" customHeight="1">
      <c r="A289" s="419">
        <v>7</v>
      </c>
      <c r="B289" s="420" t="s">
        <v>348</v>
      </c>
      <c r="C289" s="420" t="s">
        <v>359</v>
      </c>
      <c r="D289" s="421"/>
      <c r="E289" s="421"/>
      <c r="F289" s="421"/>
      <c r="G289" s="421"/>
      <c r="H289" s="421"/>
      <c r="I289" s="421"/>
      <c r="J289" s="421"/>
      <c r="K289" s="421"/>
      <c r="L289" s="421"/>
      <c r="M289" s="422"/>
      <c r="N289" s="423" t="s">
        <v>212</v>
      </c>
      <c r="O289" s="424">
        <f>O291</f>
        <v>426621450</v>
      </c>
      <c r="P289" s="490">
        <f>P291</f>
        <v>286329105</v>
      </c>
      <c r="Q289" s="490">
        <f>Q291</f>
        <v>52125800</v>
      </c>
      <c r="R289" s="315">
        <f t="shared" si="93"/>
        <v>338454905</v>
      </c>
      <c r="S289" s="490">
        <f>S291</f>
        <v>300591105</v>
      </c>
      <c r="T289" s="490">
        <f>T291</f>
        <v>57260800</v>
      </c>
      <c r="U289" s="315">
        <f t="shared" si="94"/>
        <v>357851905</v>
      </c>
      <c r="V289" s="315">
        <f t="shared" si="95"/>
        <v>68769545</v>
      </c>
      <c r="W289" s="315"/>
      <c r="X289" s="315">
        <f t="shared" si="80"/>
        <v>-19397000</v>
      </c>
      <c r="Y289" s="425">
        <f t="shared" si="82"/>
        <v>0.8388042959396439</v>
      </c>
    </row>
    <row r="290" spans="1:25" s="284" customFormat="1" ht="25" customHeight="1">
      <c r="A290" s="414"/>
      <c r="B290" s="415"/>
      <c r="C290" s="415"/>
      <c r="D290" s="415"/>
      <c r="E290" s="415"/>
      <c r="F290" s="415"/>
      <c r="G290" s="415"/>
      <c r="H290" s="415"/>
      <c r="I290" s="415"/>
      <c r="J290" s="415"/>
      <c r="K290" s="415"/>
      <c r="L290" s="415"/>
      <c r="M290" s="416"/>
      <c r="N290" s="417"/>
      <c r="O290" s="431"/>
      <c r="P290" s="432"/>
      <c r="Q290" s="432"/>
      <c r="R290" s="305"/>
      <c r="S290" s="432"/>
      <c r="T290" s="432"/>
      <c r="U290" s="305"/>
      <c r="V290" s="305"/>
      <c r="W290" s="305"/>
      <c r="X290" s="305"/>
      <c r="Y290" s="307"/>
    </row>
    <row r="291" spans="1:25" s="284" customFormat="1" ht="53.25" customHeight="1">
      <c r="A291" s="426">
        <v>7</v>
      </c>
      <c r="B291" s="427" t="s">
        <v>348</v>
      </c>
      <c r="C291" s="427" t="s">
        <v>359</v>
      </c>
      <c r="D291" s="427" t="s">
        <v>397</v>
      </c>
      <c r="E291" s="427" t="s">
        <v>348</v>
      </c>
      <c r="F291" s="428"/>
      <c r="G291" s="428"/>
      <c r="H291" s="428"/>
      <c r="I291" s="428"/>
      <c r="J291" s="428"/>
      <c r="K291" s="428"/>
      <c r="L291" s="428"/>
      <c r="M291" s="443"/>
      <c r="N291" s="328" t="s">
        <v>521</v>
      </c>
      <c r="O291" s="444">
        <f>O293+O318</f>
        <v>426621450</v>
      </c>
      <c r="P291" s="445">
        <f>P293+P318</f>
        <v>286329105</v>
      </c>
      <c r="Q291" s="445">
        <f>Q293+Q318</f>
        <v>52125800</v>
      </c>
      <c r="R291" s="330">
        <f t="shared" si="93"/>
        <v>338454905</v>
      </c>
      <c r="S291" s="445">
        <f>S293+S318</f>
        <v>300591105</v>
      </c>
      <c r="T291" s="445">
        <f>T293+T318</f>
        <v>57260800</v>
      </c>
      <c r="U291" s="330">
        <f t="shared" si="94"/>
        <v>357851905</v>
      </c>
      <c r="V291" s="330">
        <f t="shared" si="95"/>
        <v>68769545</v>
      </c>
      <c r="W291" s="330"/>
      <c r="X291" s="330">
        <f t="shared" si="80"/>
        <v>-19397000</v>
      </c>
      <c r="Y291" s="331">
        <f t="shared" si="82"/>
        <v>0.8388042959396439</v>
      </c>
    </row>
    <row r="292" spans="1:25" s="284" customFormat="1" ht="25" customHeight="1">
      <c r="A292" s="446"/>
      <c r="B292" s="447"/>
      <c r="C292" s="447"/>
      <c r="D292" s="447"/>
      <c r="E292" s="447"/>
      <c r="F292" s="447"/>
      <c r="G292" s="447"/>
      <c r="H292" s="447"/>
      <c r="I292" s="447"/>
      <c r="J292" s="447"/>
      <c r="K292" s="447"/>
      <c r="L292" s="447"/>
      <c r="M292" s="448"/>
      <c r="N292" s="302"/>
      <c r="O292" s="322"/>
      <c r="P292" s="323"/>
      <c r="Q292" s="323"/>
      <c r="R292" s="305"/>
      <c r="S292" s="323"/>
      <c r="T292" s="323"/>
      <c r="U292" s="305"/>
      <c r="V292" s="305"/>
      <c r="W292" s="305"/>
      <c r="X292" s="305"/>
      <c r="Y292" s="307"/>
    </row>
    <row r="293" spans="1:25" s="284" customFormat="1" ht="87.75" customHeight="1">
      <c r="A293" s="433">
        <v>7</v>
      </c>
      <c r="B293" s="434" t="s">
        <v>348</v>
      </c>
      <c r="C293" s="434" t="s">
        <v>359</v>
      </c>
      <c r="D293" s="340">
        <v>2</v>
      </c>
      <c r="E293" s="339" t="s">
        <v>348</v>
      </c>
      <c r="F293" s="339" t="s">
        <v>382</v>
      </c>
      <c r="G293" s="488"/>
      <c r="H293" s="488"/>
      <c r="I293" s="488"/>
      <c r="J293" s="488"/>
      <c r="K293" s="488"/>
      <c r="L293" s="488"/>
      <c r="M293" s="489"/>
      <c r="N293" s="370" t="s">
        <v>522</v>
      </c>
      <c r="O293" s="343">
        <f t="shared" ref="O293:V293" si="99">O294</f>
        <v>365261450</v>
      </c>
      <c r="P293" s="343">
        <f t="shared" si="99"/>
        <v>265145930</v>
      </c>
      <c r="Q293" s="343">
        <f t="shared" si="99"/>
        <v>49825800</v>
      </c>
      <c r="R293" s="343">
        <f t="shared" si="99"/>
        <v>314971730</v>
      </c>
      <c r="S293" s="343">
        <f t="shared" si="99"/>
        <v>278607930</v>
      </c>
      <c r="T293" s="343">
        <f t="shared" si="99"/>
        <v>36768800</v>
      </c>
      <c r="U293" s="343">
        <f t="shared" si="99"/>
        <v>315376730</v>
      </c>
      <c r="V293" s="343">
        <f t="shared" si="99"/>
        <v>49884720</v>
      </c>
      <c r="W293" s="344"/>
      <c r="X293" s="344">
        <f t="shared" si="80"/>
        <v>-405000</v>
      </c>
      <c r="Y293" s="371">
        <f t="shared" si="82"/>
        <v>0.86342736141467979</v>
      </c>
    </row>
    <row r="294" spans="1:25" s="284" customFormat="1" ht="28.5" customHeight="1">
      <c r="A294" s="439">
        <v>7</v>
      </c>
      <c r="B294" s="440" t="s">
        <v>348</v>
      </c>
      <c r="C294" s="440" t="s">
        <v>359</v>
      </c>
      <c r="D294" s="333">
        <v>2</v>
      </c>
      <c r="E294" s="346" t="s">
        <v>348</v>
      </c>
      <c r="F294" s="346" t="s">
        <v>382</v>
      </c>
      <c r="G294" s="333">
        <v>5</v>
      </c>
      <c r="H294" s="333">
        <v>1</v>
      </c>
      <c r="I294" s="346" t="s">
        <v>350</v>
      </c>
      <c r="J294" s="333"/>
      <c r="K294" s="333"/>
      <c r="L294" s="349"/>
      <c r="M294" s="350"/>
      <c r="N294" s="476" t="s">
        <v>489</v>
      </c>
      <c r="O294" s="465">
        <f>O295+O304+O311+O314</f>
        <v>365261450</v>
      </c>
      <c r="P294" s="465">
        <f t="shared" ref="P294:V294" si="100">P295+P304+P311+P314</f>
        <v>265145930</v>
      </c>
      <c r="Q294" s="465">
        <f>Q295+Q304+Q311+Q314</f>
        <v>49825800</v>
      </c>
      <c r="R294" s="465">
        <f t="shared" si="100"/>
        <v>314971730</v>
      </c>
      <c r="S294" s="465">
        <f t="shared" si="100"/>
        <v>278607930</v>
      </c>
      <c r="T294" s="465">
        <f t="shared" si="100"/>
        <v>36768800</v>
      </c>
      <c r="U294" s="465">
        <f t="shared" si="100"/>
        <v>315376730</v>
      </c>
      <c r="V294" s="465">
        <f t="shared" si="100"/>
        <v>49884720</v>
      </c>
      <c r="W294" s="305"/>
      <c r="X294" s="305">
        <f t="shared" si="80"/>
        <v>-405000</v>
      </c>
      <c r="Y294" s="307">
        <f t="shared" si="82"/>
        <v>0.86342736141467979</v>
      </c>
    </row>
    <row r="295" spans="1:25" s="284" customFormat="1" ht="28.5" customHeight="1">
      <c r="A295" s="439">
        <v>7</v>
      </c>
      <c r="B295" s="440" t="s">
        <v>348</v>
      </c>
      <c r="C295" s="440" t="s">
        <v>359</v>
      </c>
      <c r="D295" s="333">
        <v>2</v>
      </c>
      <c r="E295" s="346" t="s">
        <v>348</v>
      </c>
      <c r="F295" s="346" t="s">
        <v>382</v>
      </c>
      <c r="G295" s="333">
        <v>5</v>
      </c>
      <c r="H295" s="333">
        <v>1</v>
      </c>
      <c r="I295" s="346" t="s">
        <v>350</v>
      </c>
      <c r="J295" s="346" t="s">
        <v>348</v>
      </c>
      <c r="K295" s="333"/>
      <c r="L295" s="349"/>
      <c r="M295" s="350"/>
      <c r="N295" s="476" t="s">
        <v>398</v>
      </c>
      <c r="O295" s="465">
        <f>O296</f>
        <v>204411450</v>
      </c>
      <c r="P295" s="465">
        <f t="shared" ref="P295:V295" si="101">P296</f>
        <v>151395930</v>
      </c>
      <c r="Q295" s="465">
        <f>Q296</f>
        <v>17425800</v>
      </c>
      <c r="R295" s="465">
        <f t="shared" si="101"/>
        <v>168821730</v>
      </c>
      <c r="S295" s="465">
        <f t="shared" si="101"/>
        <v>156057930</v>
      </c>
      <c r="T295" s="465">
        <f t="shared" si="101"/>
        <v>13168800</v>
      </c>
      <c r="U295" s="465">
        <f t="shared" si="101"/>
        <v>169226730</v>
      </c>
      <c r="V295" s="465">
        <f t="shared" si="101"/>
        <v>35184720</v>
      </c>
      <c r="W295" s="305"/>
      <c r="X295" s="305">
        <f t="shared" si="80"/>
        <v>-405000</v>
      </c>
      <c r="Y295" s="307">
        <f t="shared" si="82"/>
        <v>0.82787304722900801</v>
      </c>
    </row>
    <row r="296" spans="1:25" s="284" customFormat="1" ht="28.5" customHeight="1">
      <c r="A296" s="439">
        <v>7</v>
      </c>
      <c r="B296" s="440" t="s">
        <v>348</v>
      </c>
      <c r="C296" s="440" t="s">
        <v>359</v>
      </c>
      <c r="D296" s="333">
        <v>2</v>
      </c>
      <c r="E296" s="346" t="s">
        <v>348</v>
      </c>
      <c r="F296" s="346" t="s">
        <v>382</v>
      </c>
      <c r="G296" s="333">
        <v>5</v>
      </c>
      <c r="H296" s="333">
        <v>1</v>
      </c>
      <c r="I296" s="346" t="s">
        <v>350</v>
      </c>
      <c r="J296" s="346" t="s">
        <v>348</v>
      </c>
      <c r="K296" s="346" t="s">
        <v>348</v>
      </c>
      <c r="L296" s="349"/>
      <c r="M296" s="350"/>
      <c r="N296" s="476" t="s">
        <v>379</v>
      </c>
      <c r="O296" s="465">
        <f>SUM(O297:O303)</f>
        <v>204411450</v>
      </c>
      <c r="P296" s="465">
        <f>SUM(P297:P303)</f>
        <v>151395930</v>
      </c>
      <c r="Q296" s="465">
        <f>SUM(Q297:Q303)</f>
        <v>17425800</v>
      </c>
      <c r="R296" s="305">
        <f>P296+Q296</f>
        <v>168821730</v>
      </c>
      <c r="S296" s="465">
        <f>SUM(S297:S303)</f>
        <v>156057930</v>
      </c>
      <c r="T296" s="465">
        <f>SUM(T297:T303)</f>
        <v>13168800</v>
      </c>
      <c r="U296" s="305">
        <f t="shared" ref="U296:U330" si="102">S296+T296</f>
        <v>169226730</v>
      </c>
      <c r="V296" s="305">
        <f>O296-U296</f>
        <v>35184720</v>
      </c>
      <c r="W296" s="305"/>
      <c r="X296" s="305">
        <f t="shared" ref="X296:X340" si="103">R296-U296</f>
        <v>-405000</v>
      </c>
      <c r="Y296" s="307">
        <f t="shared" si="82"/>
        <v>0.82787304722900801</v>
      </c>
    </row>
    <row r="297" spans="1:25" s="284" customFormat="1" ht="32.25" customHeight="1">
      <c r="A297" s="450">
        <v>7</v>
      </c>
      <c r="B297" s="451" t="s">
        <v>348</v>
      </c>
      <c r="C297" s="491" t="s">
        <v>523</v>
      </c>
      <c r="D297" s="407">
        <v>2</v>
      </c>
      <c r="E297" s="408" t="s">
        <v>348</v>
      </c>
      <c r="F297" s="408" t="s">
        <v>382</v>
      </c>
      <c r="G297" s="407">
        <v>5</v>
      </c>
      <c r="H297" s="407">
        <v>1</v>
      </c>
      <c r="I297" s="408" t="s">
        <v>350</v>
      </c>
      <c r="J297" s="408" t="s">
        <v>348</v>
      </c>
      <c r="K297" s="408" t="s">
        <v>348</v>
      </c>
      <c r="L297" s="408" t="s">
        <v>384</v>
      </c>
      <c r="M297" s="492">
        <v>4</v>
      </c>
      <c r="N297" s="412" t="s">
        <v>524</v>
      </c>
      <c r="O297" s="470">
        <f>'[8]SPJ FUNGSIONAL '!O303</f>
        <v>30000</v>
      </c>
      <c r="P297" s="465"/>
      <c r="Q297" s="465"/>
      <c r="R297" s="305"/>
      <c r="S297" s="465"/>
      <c r="T297" s="465"/>
      <c r="U297" s="305"/>
      <c r="V297" s="353">
        <f t="shared" ref="V297:V340" si="104">O297-U297</f>
        <v>30000</v>
      </c>
      <c r="W297" s="305"/>
      <c r="X297" s="305"/>
      <c r="Y297" s="354">
        <f t="shared" si="82"/>
        <v>0</v>
      </c>
    </row>
    <row r="298" spans="1:25" s="284" customFormat="1" ht="39.75" customHeight="1">
      <c r="A298" s="441">
        <v>7</v>
      </c>
      <c r="B298" s="442" t="s">
        <v>348</v>
      </c>
      <c r="C298" s="453" t="s">
        <v>523</v>
      </c>
      <c r="D298" s="349">
        <v>2</v>
      </c>
      <c r="E298" s="348" t="s">
        <v>348</v>
      </c>
      <c r="F298" s="348" t="s">
        <v>382</v>
      </c>
      <c r="G298" s="349">
        <v>5</v>
      </c>
      <c r="H298" s="349">
        <v>1</v>
      </c>
      <c r="I298" s="348" t="s">
        <v>350</v>
      </c>
      <c r="J298" s="348" t="s">
        <v>348</v>
      </c>
      <c r="K298" s="348" t="s">
        <v>348</v>
      </c>
      <c r="L298" s="348" t="s">
        <v>384</v>
      </c>
      <c r="M298" s="350">
        <v>6</v>
      </c>
      <c r="N298" s="351" t="s">
        <v>501</v>
      </c>
      <c r="O298" s="470">
        <f>'[8]SPJ FUNGSIONAL '!O304</f>
        <v>3936450</v>
      </c>
      <c r="P298" s="353">
        <f>'[9]LRA SP2D'!$R$298</f>
        <v>2369500</v>
      </c>
      <c r="Q298" s="353"/>
      <c r="R298" s="353">
        <f t="shared" ref="R298:R330" si="105">P298+Q298</f>
        <v>2369500</v>
      </c>
      <c r="S298" s="353">
        <f>'[8]SPJ FUNGSIONAL '!V304</f>
        <v>2369500</v>
      </c>
      <c r="T298" s="353">
        <f>'[8]SPJ FUNGSIONAL '!W304</f>
        <v>405000</v>
      </c>
      <c r="U298" s="353">
        <f>SUM(S298:T298)</f>
        <v>2774500</v>
      </c>
      <c r="V298" s="353">
        <f t="shared" si="104"/>
        <v>1161950</v>
      </c>
      <c r="W298" s="353"/>
      <c r="X298" s="353">
        <f t="shared" si="103"/>
        <v>-405000</v>
      </c>
      <c r="Y298" s="354">
        <f t="shared" si="82"/>
        <v>0.7048228734011609</v>
      </c>
    </row>
    <row r="299" spans="1:25" s="284" customFormat="1" ht="39.75" customHeight="1">
      <c r="A299" s="441">
        <v>7</v>
      </c>
      <c r="B299" s="442" t="s">
        <v>348</v>
      </c>
      <c r="C299" s="442" t="s">
        <v>359</v>
      </c>
      <c r="D299" s="349">
        <v>2</v>
      </c>
      <c r="E299" s="348" t="s">
        <v>348</v>
      </c>
      <c r="F299" s="348" t="s">
        <v>382</v>
      </c>
      <c r="G299" s="349">
        <v>5</v>
      </c>
      <c r="H299" s="349">
        <v>1</v>
      </c>
      <c r="I299" s="348" t="s">
        <v>350</v>
      </c>
      <c r="J299" s="348" t="s">
        <v>348</v>
      </c>
      <c r="K299" s="348" t="s">
        <v>348</v>
      </c>
      <c r="L299" s="348" t="s">
        <v>380</v>
      </c>
      <c r="M299" s="487">
        <v>5</v>
      </c>
      <c r="N299" s="367" t="s">
        <v>503</v>
      </c>
      <c r="O299" s="470">
        <f>'[8]SPJ FUNGSIONAL '!O305</f>
        <v>46000000</v>
      </c>
      <c r="P299" s="353">
        <f>'[9]LRA SP2D'!$R$299</f>
        <v>40103000</v>
      </c>
      <c r="Q299" s="353">
        <f t="shared" ref="P299:Q301" si="106">T299</f>
        <v>0</v>
      </c>
      <c r="R299" s="353">
        <f t="shared" si="105"/>
        <v>40103000</v>
      </c>
      <c r="S299" s="353">
        <f>'[8]SPJ FUNGSIONAL '!V305</f>
        <v>40103000</v>
      </c>
      <c r="T299" s="353">
        <f>'[8]SPJ FUNGSIONAL '!W305</f>
        <v>0</v>
      </c>
      <c r="U299" s="353">
        <f>SUM(S299:T299)</f>
        <v>40103000</v>
      </c>
      <c r="V299" s="353">
        <f t="shared" si="104"/>
        <v>5897000</v>
      </c>
      <c r="W299" s="353">
        <f t="shared" ref="W299:W316" si="107">R299-U299</f>
        <v>0</v>
      </c>
      <c r="X299" s="353">
        <f t="shared" si="103"/>
        <v>0</v>
      </c>
      <c r="Y299" s="354">
        <f t="shared" si="82"/>
        <v>0.87180434782608696</v>
      </c>
    </row>
    <row r="300" spans="1:25" s="284" customFormat="1" ht="39.75" customHeight="1">
      <c r="A300" s="450">
        <v>7</v>
      </c>
      <c r="B300" s="451" t="s">
        <v>348</v>
      </c>
      <c r="C300" s="451" t="s">
        <v>359</v>
      </c>
      <c r="D300" s="407">
        <v>2</v>
      </c>
      <c r="E300" s="408" t="s">
        <v>348</v>
      </c>
      <c r="F300" s="408" t="s">
        <v>382</v>
      </c>
      <c r="G300" s="407">
        <v>5</v>
      </c>
      <c r="H300" s="407">
        <v>1</v>
      </c>
      <c r="I300" s="408" t="s">
        <v>350</v>
      </c>
      <c r="J300" s="408" t="s">
        <v>348</v>
      </c>
      <c r="K300" s="408" t="s">
        <v>348</v>
      </c>
      <c r="L300" s="408" t="s">
        <v>393</v>
      </c>
      <c r="M300" s="493">
        <v>2</v>
      </c>
      <c r="N300" s="469" t="s">
        <v>399</v>
      </c>
      <c r="O300" s="470">
        <f>'[8]SPJ FUNGSIONAL '!O306</f>
        <v>4000000</v>
      </c>
      <c r="P300" s="353">
        <f t="shared" si="106"/>
        <v>3164700</v>
      </c>
      <c r="Q300" s="353">
        <f t="shared" si="106"/>
        <v>0</v>
      </c>
      <c r="R300" s="353">
        <f>SUM(P300:Q300)</f>
        <v>3164700</v>
      </c>
      <c r="S300" s="353">
        <f>'[8]SPJ FUNGSIONAL '!V306</f>
        <v>3164700</v>
      </c>
      <c r="T300" s="353">
        <f>'[8]SPJ FUNGSIONAL '!W306</f>
        <v>0</v>
      </c>
      <c r="U300" s="353">
        <f>SUM(S300:T300)</f>
        <v>3164700</v>
      </c>
      <c r="V300" s="353">
        <f t="shared" si="104"/>
        <v>835300</v>
      </c>
      <c r="W300" s="353">
        <f t="shared" si="107"/>
        <v>0</v>
      </c>
      <c r="X300" s="353">
        <f t="shared" si="103"/>
        <v>0</v>
      </c>
      <c r="Y300" s="354">
        <f t="shared" si="82"/>
        <v>0.79117499999999996</v>
      </c>
    </row>
    <row r="301" spans="1:25" s="284" customFormat="1" ht="36" customHeight="1">
      <c r="A301" s="441">
        <v>7</v>
      </c>
      <c r="B301" s="442" t="s">
        <v>348</v>
      </c>
      <c r="C301" s="442" t="s">
        <v>359</v>
      </c>
      <c r="D301" s="349">
        <v>2</v>
      </c>
      <c r="E301" s="348" t="s">
        <v>348</v>
      </c>
      <c r="F301" s="348" t="s">
        <v>382</v>
      </c>
      <c r="G301" s="349">
        <v>5</v>
      </c>
      <c r="H301" s="349">
        <v>1</v>
      </c>
      <c r="I301" s="348" t="s">
        <v>350</v>
      </c>
      <c r="J301" s="348" t="s">
        <v>348</v>
      </c>
      <c r="K301" s="348" t="s">
        <v>348</v>
      </c>
      <c r="L301" s="348" t="s">
        <v>393</v>
      </c>
      <c r="M301" s="487">
        <v>3</v>
      </c>
      <c r="N301" s="475" t="s">
        <v>525</v>
      </c>
      <c r="O301" s="470">
        <f>'[8]SPJ FUNGSIONAL '!O307</f>
        <v>4800000</v>
      </c>
      <c r="P301" s="353">
        <f t="shared" si="106"/>
        <v>3780000</v>
      </c>
      <c r="Q301" s="353">
        <f t="shared" si="106"/>
        <v>0</v>
      </c>
      <c r="R301" s="353">
        <f t="shared" si="105"/>
        <v>3780000</v>
      </c>
      <c r="S301" s="353">
        <f>'[8]SPJ FUNGSIONAL '!V307</f>
        <v>3780000</v>
      </c>
      <c r="T301" s="353">
        <f>'[8]SPJ FUNGSIONAL '!W307</f>
        <v>0</v>
      </c>
      <c r="U301" s="353">
        <f t="shared" si="102"/>
        <v>3780000</v>
      </c>
      <c r="V301" s="353">
        <f t="shared" si="104"/>
        <v>1020000</v>
      </c>
      <c r="W301" s="353">
        <f t="shared" si="107"/>
        <v>0</v>
      </c>
      <c r="X301" s="353">
        <f t="shared" si="103"/>
        <v>0</v>
      </c>
      <c r="Y301" s="354">
        <f t="shared" si="82"/>
        <v>0.78749999999999998</v>
      </c>
    </row>
    <row r="302" spans="1:25" s="284" customFormat="1" ht="36" customHeight="1">
      <c r="A302" s="450">
        <v>7</v>
      </c>
      <c r="B302" s="451" t="s">
        <v>348</v>
      </c>
      <c r="C302" s="451" t="s">
        <v>359</v>
      </c>
      <c r="D302" s="407">
        <v>2</v>
      </c>
      <c r="E302" s="408" t="s">
        <v>348</v>
      </c>
      <c r="F302" s="408" t="s">
        <v>382</v>
      </c>
      <c r="G302" s="407">
        <v>5</v>
      </c>
      <c r="H302" s="407">
        <v>1</v>
      </c>
      <c r="I302" s="408" t="s">
        <v>350</v>
      </c>
      <c r="J302" s="408" t="s">
        <v>348</v>
      </c>
      <c r="K302" s="408" t="s">
        <v>348</v>
      </c>
      <c r="L302" s="408" t="s">
        <v>393</v>
      </c>
      <c r="M302" s="493">
        <v>8</v>
      </c>
      <c r="N302" s="469" t="s">
        <v>493</v>
      </c>
      <c r="O302" s="470">
        <f>'[8]SPJ FUNGSIONAL '!O308</f>
        <v>108145000</v>
      </c>
      <c r="P302" s="353">
        <f>'[9]LRA SP2D'!$R$302</f>
        <v>64478730</v>
      </c>
      <c r="Q302" s="353">
        <v>17425800</v>
      </c>
      <c r="R302" s="353">
        <f>SUM(P302:Q302)</f>
        <v>81904530</v>
      </c>
      <c r="S302" s="353">
        <f>'[8]SPJ FUNGSIONAL '!V308</f>
        <v>69140730</v>
      </c>
      <c r="T302" s="353">
        <f>'[8]SPJ FUNGSIONAL '!W308</f>
        <v>12763800</v>
      </c>
      <c r="U302" s="353">
        <f>SUM(S302:T302)</f>
        <v>81904530</v>
      </c>
      <c r="V302" s="353">
        <f t="shared" si="104"/>
        <v>26240470</v>
      </c>
      <c r="W302" s="353"/>
      <c r="X302" s="353">
        <f t="shared" si="103"/>
        <v>0</v>
      </c>
      <c r="Y302" s="354">
        <f t="shared" si="82"/>
        <v>0.75735845392759715</v>
      </c>
    </row>
    <row r="303" spans="1:25" s="284" customFormat="1" ht="36" customHeight="1">
      <c r="A303" s="441">
        <v>7</v>
      </c>
      <c r="B303" s="442" t="s">
        <v>348</v>
      </c>
      <c r="C303" s="442" t="s">
        <v>359</v>
      </c>
      <c r="D303" s="349">
        <v>2</v>
      </c>
      <c r="E303" s="348" t="s">
        <v>348</v>
      </c>
      <c r="F303" s="348" t="s">
        <v>382</v>
      </c>
      <c r="G303" s="349">
        <v>5</v>
      </c>
      <c r="H303" s="349">
        <v>1</v>
      </c>
      <c r="I303" s="348" t="s">
        <v>350</v>
      </c>
      <c r="J303" s="348" t="s">
        <v>348</v>
      </c>
      <c r="K303" s="348" t="s">
        <v>348</v>
      </c>
      <c r="L303" s="348" t="s">
        <v>472</v>
      </c>
      <c r="M303" s="487">
        <v>5</v>
      </c>
      <c r="N303" s="475" t="s">
        <v>473</v>
      </c>
      <c r="O303" s="470">
        <f>'[8]SPJ FUNGSIONAL '!O309</f>
        <v>37500000</v>
      </c>
      <c r="P303" s="353">
        <f>'[9]LRA SP2D'!$R$303</f>
        <v>37500000</v>
      </c>
      <c r="Q303" s="353"/>
      <c r="R303" s="353">
        <f t="shared" si="105"/>
        <v>37500000</v>
      </c>
      <c r="S303" s="353">
        <f>'[9]LRA SP2D'!$U$303</f>
        <v>37500000</v>
      </c>
      <c r="T303" s="353">
        <f>'[8]SPJ FUNGSIONAL '!W309</f>
        <v>0</v>
      </c>
      <c r="U303" s="353">
        <f t="shared" si="102"/>
        <v>37500000</v>
      </c>
      <c r="V303" s="353">
        <f t="shared" si="104"/>
        <v>0</v>
      </c>
      <c r="W303" s="353">
        <f t="shared" si="107"/>
        <v>0</v>
      </c>
      <c r="X303" s="353">
        <f t="shared" si="103"/>
        <v>0</v>
      </c>
      <c r="Y303" s="354">
        <v>0</v>
      </c>
    </row>
    <row r="304" spans="1:25" s="284" customFormat="1" ht="37.5" customHeight="1">
      <c r="A304" s="459">
        <v>7</v>
      </c>
      <c r="B304" s="460" t="s">
        <v>348</v>
      </c>
      <c r="C304" s="460" t="s">
        <v>359</v>
      </c>
      <c r="D304" s="388">
        <v>2</v>
      </c>
      <c r="E304" s="387" t="s">
        <v>348</v>
      </c>
      <c r="F304" s="387" t="s">
        <v>382</v>
      </c>
      <c r="G304" s="388">
        <v>5</v>
      </c>
      <c r="H304" s="388">
        <v>1</v>
      </c>
      <c r="I304" s="387" t="s">
        <v>350</v>
      </c>
      <c r="J304" s="387" t="s">
        <v>350</v>
      </c>
      <c r="K304" s="387"/>
      <c r="L304" s="387"/>
      <c r="M304" s="389"/>
      <c r="N304" s="404" t="s">
        <v>391</v>
      </c>
      <c r="O304" s="465">
        <f>O305</f>
        <v>71150000</v>
      </c>
      <c r="P304" s="465">
        <f t="shared" ref="P304:Q304" si="108">P305</f>
        <v>41750000</v>
      </c>
      <c r="Q304" s="465">
        <f t="shared" si="108"/>
        <v>16800000</v>
      </c>
      <c r="R304" s="305">
        <f>SUM(P304:Q304)</f>
        <v>58550000</v>
      </c>
      <c r="S304" s="305">
        <f>S305</f>
        <v>50550000</v>
      </c>
      <c r="T304" s="305">
        <f>T305</f>
        <v>8000000</v>
      </c>
      <c r="U304" s="305">
        <f>SUM(S304:T304)</f>
        <v>58550000</v>
      </c>
      <c r="V304" s="305">
        <f t="shared" si="104"/>
        <v>12600000</v>
      </c>
      <c r="W304" s="305"/>
      <c r="X304" s="305">
        <f t="shared" si="103"/>
        <v>0</v>
      </c>
      <c r="Y304" s="307">
        <f t="shared" si="82"/>
        <v>0.82290934645115954</v>
      </c>
    </row>
    <row r="305" spans="1:25" s="284" customFormat="1" ht="25" customHeight="1">
      <c r="A305" s="459">
        <v>7</v>
      </c>
      <c r="B305" s="460" t="s">
        <v>348</v>
      </c>
      <c r="C305" s="460" t="s">
        <v>359</v>
      </c>
      <c r="D305" s="388">
        <v>2</v>
      </c>
      <c r="E305" s="387" t="s">
        <v>348</v>
      </c>
      <c r="F305" s="387" t="s">
        <v>382</v>
      </c>
      <c r="G305" s="388">
        <v>5</v>
      </c>
      <c r="H305" s="388">
        <v>1</v>
      </c>
      <c r="I305" s="387" t="s">
        <v>350</v>
      </c>
      <c r="J305" s="387" t="s">
        <v>350</v>
      </c>
      <c r="K305" s="387" t="s">
        <v>348</v>
      </c>
      <c r="L305" s="387"/>
      <c r="M305" s="389"/>
      <c r="N305" s="404" t="s">
        <v>459</v>
      </c>
      <c r="O305" s="465">
        <f>SUM(O306:O310)</f>
        <v>71150000</v>
      </c>
      <c r="P305" s="465">
        <f>SUM(P306:P310)</f>
        <v>41750000</v>
      </c>
      <c r="Q305" s="465">
        <f>SUM(Q306:Q310)</f>
        <v>16800000</v>
      </c>
      <c r="R305" s="305">
        <f>SUM(P305:Q305)</f>
        <v>58550000</v>
      </c>
      <c r="S305" s="305">
        <f>SUM(S306:S310)</f>
        <v>50550000</v>
      </c>
      <c r="T305" s="305">
        <f>SUM(T306:T310)</f>
        <v>8000000</v>
      </c>
      <c r="U305" s="305">
        <f>SUM(S305:T305)</f>
        <v>58550000</v>
      </c>
      <c r="V305" s="305">
        <f t="shared" si="104"/>
        <v>12600000</v>
      </c>
      <c r="W305" s="305"/>
      <c r="X305" s="305">
        <f t="shared" si="103"/>
        <v>0</v>
      </c>
      <c r="Y305" s="307">
        <f t="shared" si="82"/>
        <v>0.82290934645115954</v>
      </c>
    </row>
    <row r="306" spans="1:25" s="284" customFormat="1" ht="45.75" customHeight="1">
      <c r="A306" s="450">
        <v>7</v>
      </c>
      <c r="B306" s="451" t="s">
        <v>348</v>
      </c>
      <c r="C306" s="451" t="s">
        <v>359</v>
      </c>
      <c r="D306" s="407">
        <v>2</v>
      </c>
      <c r="E306" s="408" t="s">
        <v>348</v>
      </c>
      <c r="F306" s="408" t="s">
        <v>382</v>
      </c>
      <c r="G306" s="407">
        <v>5</v>
      </c>
      <c r="H306" s="407">
        <v>1</v>
      </c>
      <c r="I306" s="408" t="s">
        <v>350</v>
      </c>
      <c r="J306" s="408" t="s">
        <v>350</v>
      </c>
      <c r="K306" s="408" t="s">
        <v>348</v>
      </c>
      <c r="L306" s="408" t="s">
        <v>354</v>
      </c>
      <c r="M306" s="492">
        <v>3</v>
      </c>
      <c r="N306" s="412" t="s">
        <v>475</v>
      </c>
      <c r="O306" s="470">
        <f>'[8]SPJ FUNGSIONAL '!O312</f>
        <v>25050000</v>
      </c>
      <c r="P306" s="353">
        <f>'[9]LRA SP2D'!$R$306</f>
        <v>16250000</v>
      </c>
      <c r="Q306" s="353">
        <v>8800000</v>
      </c>
      <c r="R306" s="353">
        <f>SUM(P306:Q306)</f>
        <v>25050000</v>
      </c>
      <c r="S306" s="353">
        <f>'[8]SPJ FUNGSIONAL '!V312</f>
        <v>25050000</v>
      </c>
      <c r="T306" s="353">
        <f>'[8]SPJ FUNGSIONAL '!W312</f>
        <v>0</v>
      </c>
      <c r="U306" s="353">
        <f>SUM(S306:T306)</f>
        <v>25050000</v>
      </c>
      <c r="V306" s="353">
        <f t="shared" si="104"/>
        <v>0</v>
      </c>
      <c r="W306" s="353"/>
      <c r="X306" s="353">
        <f t="shared" si="103"/>
        <v>0</v>
      </c>
      <c r="Y306" s="354">
        <f t="shared" si="82"/>
        <v>1</v>
      </c>
    </row>
    <row r="307" spans="1:25" s="284" customFormat="1" ht="42" customHeight="1">
      <c r="A307" s="450">
        <v>7</v>
      </c>
      <c r="B307" s="451" t="s">
        <v>348</v>
      </c>
      <c r="C307" s="451" t="s">
        <v>359</v>
      </c>
      <c r="D307" s="407">
        <v>2</v>
      </c>
      <c r="E307" s="408" t="s">
        <v>348</v>
      </c>
      <c r="F307" s="408" t="s">
        <v>382</v>
      </c>
      <c r="G307" s="407">
        <v>5</v>
      </c>
      <c r="H307" s="407">
        <v>1</v>
      </c>
      <c r="I307" s="408" t="s">
        <v>350</v>
      </c>
      <c r="J307" s="408" t="s">
        <v>350</v>
      </c>
      <c r="K307" s="408" t="s">
        <v>348</v>
      </c>
      <c r="L307" s="408" t="s">
        <v>354</v>
      </c>
      <c r="M307" s="492">
        <v>4</v>
      </c>
      <c r="N307" s="412" t="s">
        <v>526</v>
      </c>
      <c r="O307" s="470">
        <f>'[8]SPJ FUNGSIONAL '!O313</f>
        <v>0</v>
      </c>
      <c r="P307" s="353"/>
      <c r="Q307" s="353"/>
      <c r="R307" s="353">
        <f t="shared" ref="R307:R316" si="109">SUM(P307:Q307)</f>
        <v>0</v>
      </c>
      <c r="S307" s="353"/>
      <c r="T307" s="353"/>
      <c r="U307" s="353">
        <f t="shared" ref="U307:U316" si="110">SUM(S307:T307)</f>
        <v>0</v>
      </c>
      <c r="V307" s="353">
        <f t="shared" si="104"/>
        <v>0</v>
      </c>
      <c r="W307" s="353">
        <f t="shared" si="107"/>
        <v>0</v>
      </c>
      <c r="X307" s="353">
        <f t="shared" si="103"/>
        <v>0</v>
      </c>
      <c r="Y307" s="354">
        <v>0</v>
      </c>
    </row>
    <row r="308" spans="1:25" s="284" customFormat="1" ht="42" customHeight="1">
      <c r="A308" s="450">
        <v>7</v>
      </c>
      <c r="B308" s="451" t="s">
        <v>348</v>
      </c>
      <c r="C308" s="451" t="s">
        <v>359</v>
      </c>
      <c r="D308" s="407">
        <v>2</v>
      </c>
      <c r="E308" s="408" t="s">
        <v>348</v>
      </c>
      <c r="F308" s="408" t="s">
        <v>382</v>
      </c>
      <c r="G308" s="407">
        <v>5</v>
      </c>
      <c r="H308" s="407">
        <v>1</v>
      </c>
      <c r="I308" s="408" t="s">
        <v>350</v>
      </c>
      <c r="J308" s="408" t="s">
        <v>350</v>
      </c>
      <c r="K308" s="408" t="s">
        <v>348</v>
      </c>
      <c r="L308" s="408" t="s">
        <v>354</v>
      </c>
      <c r="M308" s="492">
        <v>6</v>
      </c>
      <c r="N308" s="412" t="s">
        <v>527</v>
      </c>
      <c r="O308" s="470">
        <f>'[8]SPJ FUNGSIONAL '!O314</f>
        <v>17600000</v>
      </c>
      <c r="P308" s="353"/>
      <c r="Q308" s="353">
        <v>8000000</v>
      </c>
      <c r="R308" s="353">
        <f t="shared" si="109"/>
        <v>8000000</v>
      </c>
      <c r="S308" s="353"/>
      <c r="T308" s="353">
        <f>'[8]SPJ FUNGSIONAL '!W314</f>
        <v>8000000</v>
      </c>
      <c r="U308" s="353">
        <f t="shared" si="110"/>
        <v>8000000</v>
      </c>
      <c r="V308" s="353"/>
      <c r="W308" s="353"/>
      <c r="X308" s="353">
        <f t="shared" si="103"/>
        <v>0</v>
      </c>
      <c r="Y308" s="354">
        <f t="shared" ref="Y308:Y316" si="111">U308/O308*100%</f>
        <v>0.45454545454545453</v>
      </c>
    </row>
    <row r="309" spans="1:25" s="284" customFormat="1" ht="42" customHeight="1">
      <c r="A309" s="450">
        <v>7</v>
      </c>
      <c r="B309" s="451" t="s">
        <v>348</v>
      </c>
      <c r="C309" s="451" t="s">
        <v>359</v>
      </c>
      <c r="D309" s="407">
        <v>2</v>
      </c>
      <c r="E309" s="408" t="s">
        <v>348</v>
      </c>
      <c r="F309" s="408" t="s">
        <v>382</v>
      </c>
      <c r="G309" s="407">
        <v>5</v>
      </c>
      <c r="H309" s="407">
        <v>1</v>
      </c>
      <c r="I309" s="408" t="s">
        <v>350</v>
      </c>
      <c r="J309" s="408" t="s">
        <v>350</v>
      </c>
      <c r="K309" s="408" t="s">
        <v>348</v>
      </c>
      <c r="L309" s="408" t="s">
        <v>384</v>
      </c>
      <c r="M309" s="492">
        <v>9</v>
      </c>
      <c r="N309" s="412" t="s">
        <v>528</v>
      </c>
      <c r="O309" s="470">
        <f>'[8]SPJ FUNGSIONAL '!O315</f>
        <v>6000000</v>
      </c>
      <c r="P309" s="353">
        <f>S309</f>
        <v>6000000</v>
      </c>
      <c r="Q309" s="353">
        <f>T309</f>
        <v>0</v>
      </c>
      <c r="R309" s="353">
        <f t="shared" si="109"/>
        <v>6000000</v>
      </c>
      <c r="S309" s="353">
        <f>'[8]SPJ FUNGSIONAL '!X315</f>
        <v>6000000</v>
      </c>
      <c r="T309" s="353">
        <f>'[8]SPJ FUNGSIONAL '!W315</f>
        <v>0</v>
      </c>
      <c r="U309" s="353">
        <f t="shared" si="110"/>
        <v>6000000</v>
      </c>
      <c r="V309" s="353"/>
      <c r="W309" s="353">
        <f t="shared" ref="W309" si="112">R309-U309</f>
        <v>0</v>
      </c>
      <c r="X309" s="353">
        <f t="shared" si="103"/>
        <v>0</v>
      </c>
      <c r="Y309" s="354">
        <f t="shared" si="111"/>
        <v>1</v>
      </c>
    </row>
    <row r="310" spans="1:25" s="284" customFormat="1" ht="39" customHeight="1">
      <c r="A310" s="450">
        <v>7</v>
      </c>
      <c r="B310" s="451" t="s">
        <v>348</v>
      </c>
      <c r="C310" s="451" t="s">
        <v>359</v>
      </c>
      <c r="D310" s="407">
        <v>2</v>
      </c>
      <c r="E310" s="408" t="s">
        <v>348</v>
      </c>
      <c r="F310" s="408" t="s">
        <v>382</v>
      </c>
      <c r="G310" s="407">
        <v>5</v>
      </c>
      <c r="H310" s="407">
        <v>1</v>
      </c>
      <c r="I310" s="408" t="s">
        <v>350</v>
      </c>
      <c r="J310" s="408" t="s">
        <v>350</v>
      </c>
      <c r="K310" s="408" t="s">
        <v>348</v>
      </c>
      <c r="L310" s="408" t="s">
        <v>380</v>
      </c>
      <c r="M310" s="492">
        <v>7</v>
      </c>
      <c r="N310" s="412" t="s">
        <v>529</v>
      </c>
      <c r="O310" s="470">
        <f>'[8]SPJ FUNGSIONAL '!O316</f>
        <v>22500000</v>
      </c>
      <c r="P310" s="353">
        <f>S310</f>
        <v>19500000</v>
      </c>
      <c r="Q310" s="353">
        <f>T310</f>
        <v>0</v>
      </c>
      <c r="R310" s="353">
        <f t="shared" si="109"/>
        <v>19500000</v>
      </c>
      <c r="S310" s="353">
        <f>'[8]SPJ FUNGSIONAL '!V316</f>
        <v>19500000</v>
      </c>
      <c r="T310" s="353">
        <f>'[8]SPJ FUNGSIONAL '!W316</f>
        <v>0</v>
      </c>
      <c r="U310" s="353">
        <f t="shared" si="110"/>
        <v>19500000</v>
      </c>
      <c r="V310" s="353">
        <f t="shared" si="104"/>
        <v>3000000</v>
      </c>
      <c r="W310" s="353">
        <f t="shared" si="107"/>
        <v>0</v>
      </c>
      <c r="X310" s="353">
        <f t="shared" si="103"/>
        <v>0</v>
      </c>
      <c r="Y310" s="354">
        <f t="shared" si="111"/>
        <v>0.8666666666666667</v>
      </c>
    </row>
    <row r="311" spans="1:25" s="284" customFormat="1" ht="36" customHeight="1">
      <c r="A311" s="459">
        <v>7</v>
      </c>
      <c r="B311" s="460" t="s">
        <v>348</v>
      </c>
      <c r="C311" s="460" t="s">
        <v>359</v>
      </c>
      <c r="D311" s="388">
        <v>2</v>
      </c>
      <c r="E311" s="387" t="s">
        <v>348</v>
      </c>
      <c r="F311" s="387" t="s">
        <v>382</v>
      </c>
      <c r="G311" s="388">
        <v>5</v>
      </c>
      <c r="H311" s="388">
        <v>1</v>
      </c>
      <c r="I311" s="387" t="s">
        <v>350</v>
      </c>
      <c r="J311" s="387" t="s">
        <v>382</v>
      </c>
      <c r="K311" s="387"/>
      <c r="L311" s="387"/>
      <c r="M311" s="389"/>
      <c r="N311" s="404" t="s">
        <v>400</v>
      </c>
      <c r="O311" s="465">
        <f>O312</f>
        <v>40500000</v>
      </c>
      <c r="P311" s="465">
        <f t="shared" ref="P311:Q312" si="113">P312</f>
        <v>22800000</v>
      </c>
      <c r="Q311" s="465">
        <f t="shared" si="113"/>
        <v>15600000</v>
      </c>
      <c r="R311" s="305">
        <f t="shared" si="109"/>
        <v>38400000</v>
      </c>
      <c r="S311" s="305">
        <f>S312</f>
        <v>22800000</v>
      </c>
      <c r="T311" s="305">
        <f>T312</f>
        <v>15600000</v>
      </c>
      <c r="U311" s="305">
        <f t="shared" si="110"/>
        <v>38400000</v>
      </c>
      <c r="V311" s="305">
        <f t="shared" si="104"/>
        <v>2100000</v>
      </c>
      <c r="W311" s="305"/>
      <c r="X311" s="305">
        <f t="shared" si="103"/>
        <v>0</v>
      </c>
      <c r="Y311" s="307">
        <f t="shared" si="111"/>
        <v>0.94814814814814818</v>
      </c>
    </row>
    <row r="312" spans="1:25" s="284" customFormat="1" ht="40.5" customHeight="1">
      <c r="A312" s="459">
        <v>7</v>
      </c>
      <c r="B312" s="460" t="s">
        <v>348</v>
      </c>
      <c r="C312" s="460" t="s">
        <v>359</v>
      </c>
      <c r="D312" s="388">
        <v>2</v>
      </c>
      <c r="E312" s="387" t="s">
        <v>348</v>
      </c>
      <c r="F312" s="387" t="s">
        <v>382</v>
      </c>
      <c r="G312" s="388">
        <v>5</v>
      </c>
      <c r="H312" s="388">
        <v>1</v>
      </c>
      <c r="I312" s="387" t="s">
        <v>350</v>
      </c>
      <c r="J312" s="387" t="s">
        <v>382</v>
      </c>
      <c r="K312" s="387" t="s">
        <v>348</v>
      </c>
      <c r="L312" s="387"/>
      <c r="M312" s="389"/>
      <c r="N312" s="484" t="s">
        <v>401</v>
      </c>
      <c r="O312" s="465">
        <f>O313</f>
        <v>40500000</v>
      </c>
      <c r="P312" s="465">
        <f t="shared" si="113"/>
        <v>22800000</v>
      </c>
      <c r="Q312" s="465">
        <f t="shared" si="113"/>
        <v>15600000</v>
      </c>
      <c r="R312" s="305">
        <f t="shared" si="109"/>
        <v>38400000</v>
      </c>
      <c r="S312" s="305">
        <f>S313</f>
        <v>22800000</v>
      </c>
      <c r="T312" s="305">
        <f>T313</f>
        <v>15600000</v>
      </c>
      <c r="U312" s="305">
        <f t="shared" si="110"/>
        <v>38400000</v>
      </c>
      <c r="V312" s="305">
        <f t="shared" si="104"/>
        <v>2100000</v>
      </c>
      <c r="W312" s="305"/>
      <c r="X312" s="305">
        <f t="shared" si="103"/>
        <v>0</v>
      </c>
      <c r="Y312" s="307">
        <f t="shared" si="111"/>
        <v>0.94814814814814818</v>
      </c>
    </row>
    <row r="313" spans="1:25" s="284" customFormat="1" ht="47.25" customHeight="1">
      <c r="A313" s="494">
        <v>7</v>
      </c>
      <c r="B313" s="495" t="s">
        <v>348</v>
      </c>
      <c r="C313" s="495" t="s">
        <v>359</v>
      </c>
      <c r="D313" s="468">
        <v>2</v>
      </c>
      <c r="E313" s="467" t="s">
        <v>348</v>
      </c>
      <c r="F313" s="467" t="s">
        <v>382</v>
      </c>
      <c r="G313" s="468">
        <v>5</v>
      </c>
      <c r="H313" s="468">
        <v>1</v>
      </c>
      <c r="I313" s="467" t="s">
        <v>350</v>
      </c>
      <c r="J313" s="467" t="s">
        <v>382</v>
      </c>
      <c r="K313" s="467" t="s">
        <v>348</v>
      </c>
      <c r="L313" s="467" t="s">
        <v>354</v>
      </c>
      <c r="M313" s="496">
        <v>3</v>
      </c>
      <c r="N313" s="497" t="s">
        <v>520</v>
      </c>
      <c r="O313" s="470">
        <f>'[8]SPJ FUNGSIONAL '!O319</f>
        <v>40500000</v>
      </c>
      <c r="P313" s="353">
        <f>S313</f>
        <v>22800000</v>
      </c>
      <c r="Q313" s="353">
        <v>15600000</v>
      </c>
      <c r="R313" s="353">
        <f t="shared" si="109"/>
        <v>38400000</v>
      </c>
      <c r="S313" s="353">
        <f>'[8]SPJ FUNGSIONAL '!V319</f>
        <v>22800000</v>
      </c>
      <c r="T313" s="353">
        <f>'[8]SPJ FUNGSIONAL '!W319</f>
        <v>15600000</v>
      </c>
      <c r="U313" s="353">
        <f t="shared" si="110"/>
        <v>38400000</v>
      </c>
      <c r="V313" s="353">
        <f t="shared" si="104"/>
        <v>2100000</v>
      </c>
      <c r="W313" s="353"/>
      <c r="X313" s="353">
        <f t="shared" si="103"/>
        <v>0</v>
      </c>
      <c r="Y313" s="354">
        <f t="shared" si="111"/>
        <v>0.94814814814814818</v>
      </c>
    </row>
    <row r="314" spans="1:25" s="284" customFormat="1" ht="53.25" customHeight="1">
      <c r="A314" s="459">
        <v>7</v>
      </c>
      <c r="B314" s="460" t="s">
        <v>348</v>
      </c>
      <c r="C314" s="460" t="s">
        <v>359</v>
      </c>
      <c r="D314" s="388">
        <v>2</v>
      </c>
      <c r="E314" s="387" t="s">
        <v>348</v>
      </c>
      <c r="F314" s="387" t="s">
        <v>382</v>
      </c>
      <c r="G314" s="388">
        <v>5</v>
      </c>
      <c r="H314" s="388">
        <v>1</v>
      </c>
      <c r="I314" s="387" t="s">
        <v>350</v>
      </c>
      <c r="J314" s="387" t="s">
        <v>359</v>
      </c>
      <c r="K314" s="387"/>
      <c r="L314" s="387"/>
      <c r="M314" s="389"/>
      <c r="N314" s="404" t="s">
        <v>484</v>
      </c>
      <c r="O314" s="465">
        <f>O315</f>
        <v>49200000</v>
      </c>
      <c r="P314" s="465">
        <f t="shared" ref="P314:Q315" si="114">P315</f>
        <v>49200000</v>
      </c>
      <c r="Q314" s="465">
        <f t="shared" si="114"/>
        <v>0</v>
      </c>
      <c r="R314" s="305">
        <f t="shared" si="109"/>
        <v>49200000</v>
      </c>
      <c r="S314" s="305">
        <f>S315</f>
        <v>49200000</v>
      </c>
      <c r="T314" s="305">
        <f>T315</f>
        <v>0</v>
      </c>
      <c r="U314" s="305">
        <f t="shared" si="110"/>
        <v>49200000</v>
      </c>
      <c r="V314" s="305">
        <f t="shared" si="104"/>
        <v>0</v>
      </c>
      <c r="W314" s="305">
        <f t="shared" si="107"/>
        <v>0</v>
      </c>
      <c r="X314" s="305">
        <f t="shared" si="103"/>
        <v>0</v>
      </c>
      <c r="Y314" s="307">
        <f t="shared" si="111"/>
        <v>1</v>
      </c>
    </row>
    <row r="315" spans="1:25" s="284" customFormat="1" ht="43.5" customHeight="1">
      <c r="A315" s="459">
        <v>7</v>
      </c>
      <c r="B315" s="460" t="s">
        <v>348</v>
      </c>
      <c r="C315" s="460" t="s">
        <v>359</v>
      </c>
      <c r="D315" s="388">
        <v>2</v>
      </c>
      <c r="E315" s="387" t="s">
        <v>348</v>
      </c>
      <c r="F315" s="387" t="s">
        <v>382</v>
      </c>
      <c r="G315" s="388">
        <v>5</v>
      </c>
      <c r="H315" s="388">
        <v>1</v>
      </c>
      <c r="I315" s="387" t="s">
        <v>350</v>
      </c>
      <c r="J315" s="387" t="s">
        <v>359</v>
      </c>
      <c r="K315" s="387" t="s">
        <v>348</v>
      </c>
      <c r="L315" s="387"/>
      <c r="M315" s="389"/>
      <c r="N315" s="404" t="s">
        <v>485</v>
      </c>
      <c r="O315" s="465">
        <f>O316</f>
        <v>49200000</v>
      </c>
      <c r="P315" s="465">
        <f t="shared" si="114"/>
        <v>49200000</v>
      </c>
      <c r="Q315" s="465">
        <f t="shared" si="114"/>
        <v>0</v>
      </c>
      <c r="R315" s="305">
        <f t="shared" si="109"/>
        <v>49200000</v>
      </c>
      <c r="S315" s="305">
        <f>S316</f>
        <v>49200000</v>
      </c>
      <c r="T315" s="305">
        <f>T316</f>
        <v>0</v>
      </c>
      <c r="U315" s="305">
        <f t="shared" si="110"/>
        <v>49200000</v>
      </c>
      <c r="V315" s="305">
        <f t="shared" si="104"/>
        <v>0</v>
      </c>
      <c r="W315" s="305">
        <f t="shared" si="107"/>
        <v>0</v>
      </c>
      <c r="X315" s="305">
        <f t="shared" si="103"/>
        <v>0</v>
      </c>
      <c r="Y315" s="307">
        <f t="shared" si="111"/>
        <v>1</v>
      </c>
    </row>
    <row r="316" spans="1:25" s="284" customFormat="1" ht="36" customHeight="1">
      <c r="A316" s="450">
        <v>7</v>
      </c>
      <c r="B316" s="451" t="s">
        <v>348</v>
      </c>
      <c r="C316" s="451" t="s">
        <v>359</v>
      </c>
      <c r="D316" s="407">
        <v>2</v>
      </c>
      <c r="E316" s="408" t="s">
        <v>348</v>
      </c>
      <c r="F316" s="408" t="s">
        <v>382</v>
      </c>
      <c r="G316" s="407">
        <v>5</v>
      </c>
      <c r="H316" s="407">
        <v>1</v>
      </c>
      <c r="I316" s="408" t="s">
        <v>350</v>
      </c>
      <c r="J316" s="408" t="s">
        <v>359</v>
      </c>
      <c r="K316" s="408" t="s">
        <v>348</v>
      </c>
      <c r="L316" s="408" t="s">
        <v>354</v>
      </c>
      <c r="M316" s="492">
        <v>1</v>
      </c>
      <c r="N316" s="469" t="s">
        <v>530</v>
      </c>
      <c r="O316" s="470">
        <f>'[8]SPJ FUNGSIONAL '!O322</f>
        <v>49200000</v>
      </c>
      <c r="P316" s="353">
        <f>S316</f>
        <v>49200000</v>
      </c>
      <c r="Q316" s="353">
        <f>T316</f>
        <v>0</v>
      </c>
      <c r="R316" s="353">
        <f t="shared" si="109"/>
        <v>49200000</v>
      </c>
      <c r="S316" s="353">
        <f>'[8]SPJ FUNGSIONAL '!V322</f>
        <v>49200000</v>
      </c>
      <c r="T316" s="353">
        <f>'[8]SPJ FUNGSIONAL '!W322</f>
        <v>0</v>
      </c>
      <c r="U316" s="353">
        <f t="shared" si="110"/>
        <v>49200000</v>
      </c>
      <c r="V316" s="353">
        <f t="shared" si="104"/>
        <v>0</v>
      </c>
      <c r="W316" s="353">
        <f t="shared" si="107"/>
        <v>0</v>
      </c>
      <c r="X316" s="353">
        <f t="shared" si="103"/>
        <v>0</v>
      </c>
      <c r="Y316" s="354">
        <f t="shared" si="111"/>
        <v>1</v>
      </c>
    </row>
    <row r="317" spans="1:25" s="284" customFormat="1" ht="25" customHeight="1">
      <c r="A317" s="439"/>
      <c r="B317" s="498"/>
      <c r="C317" s="498"/>
      <c r="D317" s="333"/>
      <c r="E317" s="333"/>
      <c r="F317" s="333"/>
      <c r="G317" s="333"/>
      <c r="H317" s="333"/>
      <c r="I317" s="333"/>
      <c r="J317" s="333"/>
      <c r="K317" s="333"/>
      <c r="L317" s="349"/>
      <c r="M317" s="350"/>
      <c r="N317" s="476"/>
      <c r="O317" s="465"/>
      <c r="P317" s="353"/>
      <c r="Q317" s="353"/>
      <c r="R317" s="353"/>
      <c r="S317" s="353"/>
      <c r="T317" s="353"/>
      <c r="U317" s="353"/>
      <c r="V317" s="353"/>
      <c r="W317" s="353"/>
      <c r="X317" s="353"/>
      <c r="Y317" s="354"/>
    </row>
    <row r="318" spans="1:25" s="284" customFormat="1" ht="47.25" customHeight="1">
      <c r="A318" s="433">
        <v>7</v>
      </c>
      <c r="B318" s="434" t="s">
        <v>348</v>
      </c>
      <c r="C318" s="434" t="s">
        <v>359</v>
      </c>
      <c r="D318" s="340">
        <v>2</v>
      </c>
      <c r="E318" s="339" t="s">
        <v>348</v>
      </c>
      <c r="F318" s="339" t="s">
        <v>365</v>
      </c>
      <c r="G318" s="488"/>
      <c r="H318" s="488"/>
      <c r="I318" s="488"/>
      <c r="J318" s="488"/>
      <c r="K318" s="488"/>
      <c r="L318" s="488"/>
      <c r="M318" s="489"/>
      <c r="N318" s="370" t="s">
        <v>531</v>
      </c>
      <c r="O318" s="343">
        <f t="shared" ref="O318:Q318" si="115">O319</f>
        <v>61360000</v>
      </c>
      <c r="P318" s="344">
        <f>P319</f>
        <v>21183175</v>
      </c>
      <c r="Q318" s="344">
        <f t="shared" si="115"/>
        <v>2300000</v>
      </c>
      <c r="R318" s="344">
        <f t="shared" si="105"/>
        <v>23483175</v>
      </c>
      <c r="S318" s="344">
        <f>S319</f>
        <v>21983175</v>
      </c>
      <c r="T318" s="344">
        <f>T319</f>
        <v>20492000</v>
      </c>
      <c r="U318" s="344">
        <f t="shared" si="102"/>
        <v>42475175</v>
      </c>
      <c r="V318" s="344">
        <f t="shared" si="104"/>
        <v>18884825</v>
      </c>
      <c r="W318" s="344"/>
      <c r="X318" s="344">
        <f t="shared" si="103"/>
        <v>-18992000</v>
      </c>
      <c r="Y318" s="371">
        <f t="shared" ref="Y318:Y340" si="116">U318/O318*100%</f>
        <v>0.69222905801825296</v>
      </c>
    </row>
    <row r="319" spans="1:25" s="284" customFormat="1" ht="35.25" customHeight="1">
      <c r="A319" s="439">
        <v>7</v>
      </c>
      <c r="B319" s="440" t="s">
        <v>348</v>
      </c>
      <c r="C319" s="440" t="s">
        <v>359</v>
      </c>
      <c r="D319" s="333">
        <v>2</v>
      </c>
      <c r="E319" s="346" t="s">
        <v>348</v>
      </c>
      <c r="F319" s="346" t="s">
        <v>365</v>
      </c>
      <c r="G319" s="333">
        <v>5</v>
      </c>
      <c r="H319" s="333">
        <v>1</v>
      </c>
      <c r="I319" s="346" t="s">
        <v>350</v>
      </c>
      <c r="J319" s="333"/>
      <c r="K319" s="333"/>
      <c r="L319" s="349"/>
      <c r="M319" s="350"/>
      <c r="N319" s="476" t="s">
        <v>489</v>
      </c>
      <c r="O319" s="465">
        <f>O320+O328+O333+O335+O338</f>
        <v>61360000</v>
      </c>
      <c r="P319" s="465">
        <f>P320+P328+P335+P338</f>
        <v>21183175</v>
      </c>
      <c r="Q319" s="465">
        <f>Q320+Q328+Q335+Q338</f>
        <v>2300000</v>
      </c>
      <c r="R319" s="305">
        <f>P319+Q319</f>
        <v>23483175</v>
      </c>
      <c r="S319" s="465">
        <f>S320+S328+S335+S338</f>
        <v>21983175</v>
      </c>
      <c r="T319" s="465">
        <f>T320+T328+T335+T338</f>
        <v>20492000</v>
      </c>
      <c r="U319" s="305">
        <f t="shared" si="102"/>
        <v>42475175</v>
      </c>
      <c r="V319" s="305">
        <f t="shared" si="104"/>
        <v>18884825</v>
      </c>
      <c r="W319" s="305"/>
      <c r="X319" s="305">
        <f t="shared" si="103"/>
        <v>-18992000</v>
      </c>
      <c r="Y319" s="307">
        <f t="shared" si="116"/>
        <v>0.69222905801825296</v>
      </c>
    </row>
    <row r="320" spans="1:25" s="284" customFormat="1" ht="35.25" customHeight="1">
      <c r="A320" s="439">
        <v>7</v>
      </c>
      <c r="B320" s="440" t="s">
        <v>348</v>
      </c>
      <c r="C320" s="440" t="s">
        <v>359</v>
      </c>
      <c r="D320" s="333">
        <v>2</v>
      </c>
      <c r="E320" s="346" t="s">
        <v>348</v>
      </c>
      <c r="F320" s="346" t="s">
        <v>365</v>
      </c>
      <c r="G320" s="333">
        <v>5</v>
      </c>
      <c r="H320" s="333">
        <v>1</v>
      </c>
      <c r="I320" s="346" t="s">
        <v>350</v>
      </c>
      <c r="J320" s="346" t="s">
        <v>348</v>
      </c>
      <c r="K320" s="333"/>
      <c r="L320" s="349"/>
      <c r="M320" s="350"/>
      <c r="N320" s="476" t="s">
        <v>398</v>
      </c>
      <c r="O320" s="465">
        <f>O321</f>
        <v>20415000</v>
      </c>
      <c r="P320" s="465">
        <f>P321</f>
        <v>7793175</v>
      </c>
      <c r="Q320" s="465">
        <f>Q321</f>
        <v>1500000</v>
      </c>
      <c r="R320" s="305">
        <f t="shared" si="105"/>
        <v>9293175</v>
      </c>
      <c r="S320" s="465">
        <f>S321</f>
        <v>7793175</v>
      </c>
      <c r="T320" s="465">
        <f>T321</f>
        <v>6562000</v>
      </c>
      <c r="U320" s="305">
        <f t="shared" si="102"/>
        <v>14355175</v>
      </c>
      <c r="V320" s="305">
        <f t="shared" si="104"/>
        <v>6059825</v>
      </c>
      <c r="W320" s="305"/>
      <c r="X320" s="305">
        <f t="shared" si="103"/>
        <v>-5062000</v>
      </c>
      <c r="Y320" s="307">
        <f t="shared" si="116"/>
        <v>0.70316801371540538</v>
      </c>
    </row>
    <row r="321" spans="1:25" s="284" customFormat="1" ht="35.25" customHeight="1">
      <c r="A321" s="439">
        <v>7</v>
      </c>
      <c r="B321" s="440" t="s">
        <v>348</v>
      </c>
      <c r="C321" s="440" t="s">
        <v>359</v>
      </c>
      <c r="D321" s="333">
        <v>2</v>
      </c>
      <c r="E321" s="346" t="s">
        <v>348</v>
      </c>
      <c r="F321" s="346" t="s">
        <v>365</v>
      </c>
      <c r="G321" s="333">
        <v>5</v>
      </c>
      <c r="H321" s="333">
        <v>1</v>
      </c>
      <c r="I321" s="346" t="s">
        <v>350</v>
      </c>
      <c r="J321" s="346" t="s">
        <v>348</v>
      </c>
      <c r="K321" s="346" t="s">
        <v>348</v>
      </c>
      <c r="L321" s="349"/>
      <c r="M321" s="350"/>
      <c r="N321" s="476" t="s">
        <v>379</v>
      </c>
      <c r="O321" s="465">
        <f>SUM(O322:O327)</f>
        <v>20415000</v>
      </c>
      <c r="P321" s="465">
        <f>SUM(P322:P327)</f>
        <v>7793175</v>
      </c>
      <c r="Q321" s="465">
        <f>SUM(Q322:Q327)</f>
        <v>1500000</v>
      </c>
      <c r="R321" s="305">
        <f>P321+Q321</f>
        <v>9293175</v>
      </c>
      <c r="S321" s="465">
        <f>SUM(S322:S327)</f>
        <v>7793175</v>
      </c>
      <c r="T321" s="465">
        <f>SUM(T322:T327)</f>
        <v>6562000</v>
      </c>
      <c r="U321" s="305">
        <f t="shared" si="102"/>
        <v>14355175</v>
      </c>
      <c r="V321" s="305">
        <f t="shared" si="104"/>
        <v>6059825</v>
      </c>
      <c r="W321" s="305"/>
      <c r="X321" s="305">
        <f t="shared" si="103"/>
        <v>-5062000</v>
      </c>
      <c r="Y321" s="307">
        <f t="shared" si="116"/>
        <v>0.70316801371540538</v>
      </c>
    </row>
    <row r="322" spans="1:25" s="284" customFormat="1" ht="35.25" customHeight="1">
      <c r="A322" s="450">
        <v>7</v>
      </c>
      <c r="B322" s="451" t="s">
        <v>348</v>
      </c>
      <c r="C322" s="491" t="s">
        <v>523</v>
      </c>
      <c r="D322" s="407">
        <v>2</v>
      </c>
      <c r="E322" s="408" t="s">
        <v>348</v>
      </c>
      <c r="F322" s="408" t="s">
        <v>365</v>
      </c>
      <c r="G322" s="407">
        <v>5</v>
      </c>
      <c r="H322" s="407">
        <v>1</v>
      </c>
      <c r="I322" s="408" t="s">
        <v>350</v>
      </c>
      <c r="J322" s="408" t="s">
        <v>348</v>
      </c>
      <c r="K322" s="408" t="s">
        <v>348</v>
      </c>
      <c r="L322" s="408" t="s">
        <v>384</v>
      </c>
      <c r="M322" s="492">
        <v>4</v>
      </c>
      <c r="N322" s="412" t="s">
        <v>532</v>
      </c>
      <c r="O322" s="470">
        <f>'[8]SPJ FUNGSIONAL '!O328</f>
        <v>0</v>
      </c>
      <c r="P322" s="465"/>
      <c r="Q322" s="465"/>
      <c r="R322" s="305"/>
      <c r="S322" s="465"/>
      <c r="T322" s="465"/>
      <c r="U322" s="305"/>
      <c r="V322" s="353">
        <f t="shared" si="104"/>
        <v>0</v>
      </c>
      <c r="W322" s="353">
        <f t="shared" ref="W322:W323" si="117">R322-U322</f>
        <v>0</v>
      </c>
      <c r="X322" s="353">
        <f t="shared" si="103"/>
        <v>0</v>
      </c>
      <c r="Y322" s="354">
        <v>0</v>
      </c>
    </row>
    <row r="323" spans="1:25" s="284" customFormat="1" ht="35.25" customHeight="1">
      <c r="A323" s="450">
        <v>7</v>
      </c>
      <c r="B323" s="451" t="s">
        <v>348</v>
      </c>
      <c r="C323" s="491" t="s">
        <v>523</v>
      </c>
      <c r="D323" s="407">
        <v>2</v>
      </c>
      <c r="E323" s="408" t="s">
        <v>348</v>
      </c>
      <c r="F323" s="408" t="s">
        <v>365</v>
      </c>
      <c r="G323" s="407">
        <v>5</v>
      </c>
      <c r="H323" s="407">
        <v>1</v>
      </c>
      <c r="I323" s="408" t="s">
        <v>350</v>
      </c>
      <c r="J323" s="408" t="s">
        <v>348</v>
      </c>
      <c r="K323" s="408" t="s">
        <v>348</v>
      </c>
      <c r="L323" s="408" t="s">
        <v>384</v>
      </c>
      <c r="M323" s="492">
        <v>5</v>
      </c>
      <c r="N323" s="412" t="s">
        <v>500</v>
      </c>
      <c r="O323" s="470">
        <f>'[8]SPJ FUNGSIONAL '!O329</f>
        <v>0</v>
      </c>
      <c r="P323" s="465"/>
      <c r="Q323" s="465"/>
      <c r="R323" s="305"/>
      <c r="S323" s="465"/>
      <c r="T323" s="465"/>
      <c r="U323" s="305"/>
      <c r="V323" s="353">
        <f t="shared" si="104"/>
        <v>0</v>
      </c>
      <c r="W323" s="353">
        <f t="shared" si="117"/>
        <v>0</v>
      </c>
      <c r="X323" s="353">
        <f t="shared" si="103"/>
        <v>0</v>
      </c>
      <c r="Y323" s="354">
        <v>0</v>
      </c>
    </row>
    <row r="324" spans="1:25" s="284" customFormat="1" ht="30" customHeight="1">
      <c r="A324" s="441">
        <v>7</v>
      </c>
      <c r="B324" s="442" t="s">
        <v>348</v>
      </c>
      <c r="C324" s="453" t="s">
        <v>523</v>
      </c>
      <c r="D324" s="349">
        <v>2</v>
      </c>
      <c r="E324" s="348" t="s">
        <v>348</v>
      </c>
      <c r="F324" s="348" t="s">
        <v>365</v>
      </c>
      <c r="G324" s="349">
        <v>5</v>
      </c>
      <c r="H324" s="349">
        <v>1</v>
      </c>
      <c r="I324" s="348" t="s">
        <v>350</v>
      </c>
      <c r="J324" s="348" t="s">
        <v>348</v>
      </c>
      <c r="K324" s="348" t="s">
        <v>348</v>
      </c>
      <c r="L324" s="348" t="s">
        <v>384</v>
      </c>
      <c r="M324" s="350">
        <v>6</v>
      </c>
      <c r="N324" s="351" t="s">
        <v>501</v>
      </c>
      <c r="O324" s="470">
        <f>'[8]SPJ FUNGSIONAL '!O330</f>
        <v>1305000</v>
      </c>
      <c r="P324" s="353">
        <f>S324</f>
        <v>400000</v>
      </c>
      <c r="Q324" s="353"/>
      <c r="R324" s="353">
        <f t="shared" si="105"/>
        <v>400000</v>
      </c>
      <c r="S324" s="353">
        <f>'[8]SPJ FUNGSIONAL '!V330</f>
        <v>400000</v>
      </c>
      <c r="T324" s="353">
        <f>'[8]SPJ FUNGSIONAL '!W330</f>
        <v>400000</v>
      </c>
      <c r="U324" s="353">
        <f t="shared" si="102"/>
        <v>800000</v>
      </c>
      <c r="V324" s="353">
        <f t="shared" si="104"/>
        <v>505000</v>
      </c>
      <c r="W324" s="353"/>
      <c r="X324" s="353">
        <f t="shared" si="103"/>
        <v>-400000</v>
      </c>
      <c r="Y324" s="354">
        <f t="shared" si="116"/>
        <v>0.6130268199233716</v>
      </c>
    </row>
    <row r="325" spans="1:25" s="284" customFormat="1" ht="41.25" customHeight="1">
      <c r="A325" s="450">
        <v>7</v>
      </c>
      <c r="B325" s="451" t="s">
        <v>348</v>
      </c>
      <c r="C325" s="491" t="s">
        <v>523</v>
      </c>
      <c r="D325" s="407">
        <v>2</v>
      </c>
      <c r="E325" s="408" t="s">
        <v>348</v>
      </c>
      <c r="F325" s="408" t="s">
        <v>365</v>
      </c>
      <c r="G325" s="407">
        <v>5</v>
      </c>
      <c r="H325" s="407">
        <v>1</v>
      </c>
      <c r="I325" s="408" t="s">
        <v>350</v>
      </c>
      <c r="J325" s="408" t="s">
        <v>348</v>
      </c>
      <c r="K325" s="408" t="s">
        <v>348</v>
      </c>
      <c r="L325" s="408" t="s">
        <v>384</v>
      </c>
      <c r="M325" s="492">
        <v>6</v>
      </c>
      <c r="N325" s="412" t="s">
        <v>533</v>
      </c>
      <c r="O325" s="470">
        <f>'[8]SPJ FUNGSIONAL '!O331</f>
        <v>2400000</v>
      </c>
      <c r="P325" s="353"/>
      <c r="Q325" s="353">
        <v>1500000</v>
      </c>
      <c r="R325" s="353">
        <f>SUM(P325:Q325)</f>
        <v>1500000</v>
      </c>
      <c r="S325" s="353"/>
      <c r="T325" s="353">
        <f>'[8]SPJ FUNGSIONAL '!W331</f>
        <v>1500000</v>
      </c>
      <c r="U325" s="353">
        <f>SUM(S325:T325)</f>
        <v>1500000</v>
      </c>
      <c r="V325" s="353">
        <f t="shared" si="104"/>
        <v>900000</v>
      </c>
      <c r="W325" s="353">
        <f t="shared" ref="W325:W326" si="118">R325-U325</f>
        <v>0</v>
      </c>
      <c r="X325" s="353">
        <f t="shared" si="103"/>
        <v>0</v>
      </c>
      <c r="Y325" s="354">
        <f t="shared" si="116"/>
        <v>0.625</v>
      </c>
    </row>
    <row r="326" spans="1:25" s="284" customFormat="1" ht="41.25" customHeight="1">
      <c r="A326" s="450">
        <v>7</v>
      </c>
      <c r="B326" s="451" t="s">
        <v>348</v>
      </c>
      <c r="C326" s="451" t="s">
        <v>359</v>
      </c>
      <c r="D326" s="407">
        <v>2</v>
      </c>
      <c r="E326" s="408" t="s">
        <v>348</v>
      </c>
      <c r="F326" s="408" t="s">
        <v>365</v>
      </c>
      <c r="G326" s="407">
        <v>5</v>
      </c>
      <c r="H326" s="407">
        <v>1</v>
      </c>
      <c r="I326" s="408" t="s">
        <v>350</v>
      </c>
      <c r="J326" s="408" t="s">
        <v>348</v>
      </c>
      <c r="K326" s="408" t="s">
        <v>348</v>
      </c>
      <c r="L326" s="408" t="s">
        <v>393</v>
      </c>
      <c r="M326" s="493">
        <v>2</v>
      </c>
      <c r="N326" s="412" t="s">
        <v>399</v>
      </c>
      <c r="O326" s="470">
        <f>'[8]SPJ FUNGSIONAL '!O332</f>
        <v>1600000</v>
      </c>
      <c r="P326" s="353"/>
      <c r="Q326" s="353"/>
      <c r="R326" s="353"/>
      <c r="S326" s="353"/>
      <c r="T326" s="353"/>
      <c r="U326" s="353"/>
      <c r="V326" s="353">
        <f t="shared" si="104"/>
        <v>1600000</v>
      </c>
      <c r="W326" s="353">
        <f t="shared" si="118"/>
        <v>0</v>
      </c>
      <c r="X326" s="353">
        <f t="shared" si="103"/>
        <v>0</v>
      </c>
      <c r="Y326" s="354">
        <f t="shared" si="116"/>
        <v>0</v>
      </c>
    </row>
    <row r="327" spans="1:25" s="284" customFormat="1" ht="30" customHeight="1">
      <c r="A327" s="441">
        <v>7</v>
      </c>
      <c r="B327" s="442" t="s">
        <v>348</v>
      </c>
      <c r="C327" s="442" t="s">
        <v>359</v>
      </c>
      <c r="D327" s="349">
        <v>2</v>
      </c>
      <c r="E327" s="348" t="s">
        <v>348</v>
      </c>
      <c r="F327" s="348" t="s">
        <v>365</v>
      </c>
      <c r="G327" s="349">
        <v>5</v>
      </c>
      <c r="H327" s="349">
        <v>1</v>
      </c>
      <c r="I327" s="348" t="s">
        <v>350</v>
      </c>
      <c r="J327" s="348" t="s">
        <v>348</v>
      </c>
      <c r="K327" s="348" t="s">
        <v>348</v>
      </c>
      <c r="L327" s="348" t="s">
        <v>393</v>
      </c>
      <c r="M327" s="487">
        <v>8</v>
      </c>
      <c r="N327" s="367" t="s">
        <v>493</v>
      </c>
      <c r="O327" s="470">
        <f>'[8]SPJ FUNGSIONAL '!O333</f>
        <v>15110000</v>
      </c>
      <c r="P327" s="353">
        <v>7393175</v>
      </c>
      <c r="Q327" s="353"/>
      <c r="R327" s="353">
        <f t="shared" si="105"/>
        <v>7393175</v>
      </c>
      <c r="S327" s="353">
        <f>'[8]SPJ FUNGSIONAL '!V333</f>
        <v>7393175</v>
      </c>
      <c r="T327" s="353">
        <f>'[8]SPJ FUNGSIONAL '!W333</f>
        <v>4662000</v>
      </c>
      <c r="U327" s="353">
        <f t="shared" si="102"/>
        <v>12055175</v>
      </c>
      <c r="V327" s="353">
        <f t="shared" si="104"/>
        <v>3054825</v>
      </c>
      <c r="W327" s="353"/>
      <c r="X327" s="353">
        <f>R327-U327</f>
        <v>-4662000</v>
      </c>
      <c r="Y327" s="354">
        <f t="shared" si="116"/>
        <v>0.79782759761747191</v>
      </c>
    </row>
    <row r="328" spans="1:25" s="284" customFormat="1" ht="35.25" customHeight="1">
      <c r="A328" s="439">
        <v>7</v>
      </c>
      <c r="B328" s="440" t="s">
        <v>348</v>
      </c>
      <c r="C328" s="440" t="s">
        <v>359</v>
      </c>
      <c r="D328" s="333">
        <v>2</v>
      </c>
      <c r="E328" s="346" t="s">
        <v>348</v>
      </c>
      <c r="F328" s="346" t="s">
        <v>365</v>
      </c>
      <c r="G328" s="333">
        <v>5</v>
      </c>
      <c r="H328" s="333">
        <v>1</v>
      </c>
      <c r="I328" s="346" t="s">
        <v>350</v>
      </c>
      <c r="J328" s="346" t="s">
        <v>350</v>
      </c>
      <c r="K328" s="333"/>
      <c r="L328" s="349"/>
      <c r="M328" s="350"/>
      <c r="N328" s="476" t="s">
        <v>391</v>
      </c>
      <c r="O328" s="465">
        <f>O329</f>
        <v>15770000</v>
      </c>
      <c r="P328" s="465">
        <f>P329</f>
        <v>9240000</v>
      </c>
      <c r="Q328" s="465">
        <f>Q329+Q333</f>
        <v>800000</v>
      </c>
      <c r="R328" s="305">
        <f t="shared" si="105"/>
        <v>10040000</v>
      </c>
      <c r="S328" s="465">
        <f>S329+S333</f>
        <v>10040000</v>
      </c>
      <c r="T328" s="465">
        <f>T329+T333</f>
        <v>4130000</v>
      </c>
      <c r="U328" s="305">
        <f t="shared" si="102"/>
        <v>14170000</v>
      </c>
      <c r="V328" s="305">
        <f t="shared" si="104"/>
        <v>1600000</v>
      </c>
      <c r="W328" s="305">
        <v>0</v>
      </c>
      <c r="X328" s="305">
        <f t="shared" si="103"/>
        <v>-4130000</v>
      </c>
      <c r="Y328" s="307">
        <f t="shared" si="116"/>
        <v>0.89854153455928976</v>
      </c>
    </row>
    <row r="329" spans="1:25" s="284" customFormat="1" ht="35.25" customHeight="1">
      <c r="A329" s="439">
        <v>7</v>
      </c>
      <c r="B329" s="440" t="s">
        <v>348</v>
      </c>
      <c r="C329" s="440" t="s">
        <v>359</v>
      </c>
      <c r="D329" s="333">
        <v>2</v>
      </c>
      <c r="E329" s="346" t="s">
        <v>348</v>
      </c>
      <c r="F329" s="346" t="s">
        <v>365</v>
      </c>
      <c r="G329" s="333">
        <v>5</v>
      </c>
      <c r="H329" s="333">
        <v>1</v>
      </c>
      <c r="I329" s="346" t="s">
        <v>350</v>
      </c>
      <c r="J329" s="346" t="s">
        <v>350</v>
      </c>
      <c r="K329" s="346" t="s">
        <v>348</v>
      </c>
      <c r="L329" s="333"/>
      <c r="M329" s="499"/>
      <c r="N329" s="476" t="s">
        <v>459</v>
      </c>
      <c r="O329" s="465">
        <f>SUM(O330:O332)</f>
        <v>15770000</v>
      </c>
      <c r="P329" s="465">
        <f>SUM(P330:P332)</f>
        <v>9240000</v>
      </c>
      <c r="Q329" s="465">
        <f>SUM(Q330:Q332)</f>
        <v>800000</v>
      </c>
      <c r="R329" s="305">
        <f t="shared" si="105"/>
        <v>10040000</v>
      </c>
      <c r="S329" s="465">
        <f>SUM(S330:S332)</f>
        <v>10040000</v>
      </c>
      <c r="T329" s="465">
        <f>SUM(T330:T332)</f>
        <v>3130000</v>
      </c>
      <c r="U329" s="305">
        <f t="shared" si="102"/>
        <v>13170000</v>
      </c>
      <c r="V329" s="305">
        <f t="shared" si="104"/>
        <v>2600000</v>
      </c>
      <c r="W329" s="305">
        <v>0</v>
      </c>
      <c r="X329" s="305">
        <f t="shared" si="103"/>
        <v>-3130000</v>
      </c>
      <c r="Y329" s="307">
        <f t="shared" si="116"/>
        <v>0.83512999365884588</v>
      </c>
    </row>
    <row r="330" spans="1:25" s="284" customFormat="1" ht="35.25" customHeight="1">
      <c r="A330" s="441">
        <v>7</v>
      </c>
      <c r="B330" s="442" t="s">
        <v>348</v>
      </c>
      <c r="C330" s="442" t="s">
        <v>359</v>
      </c>
      <c r="D330" s="349">
        <v>2</v>
      </c>
      <c r="E330" s="348" t="s">
        <v>348</v>
      </c>
      <c r="F330" s="348" t="s">
        <v>365</v>
      </c>
      <c r="G330" s="349">
        <v>5</v>
      </c>
      <c r="H330" s="349">
        <v>1</v>
      </c>
      <c r="I330" s="348" t="s">
        <v>350</v>
      </c>
      <c r="J330" s="348" t="s">
        <v>350</v>
      </c>
      <c r="K330" s="348" t="s">
        <v>348</v>
      </c>
      <c r="L330" s="348" t="s">
        <v>354</v>
      </c>
      <c r="M330" s="487">
        <v>3</v>
      </c>
      <c r="N330" s="475" t="s">
        <v>507</v>
      </c>
      <c r="O330" s="470">
        <f>'[8]SPJ FUNGSIONAL '!O336</f>
        <v>3200000</v>
      </c>
      <c r="P330" s="353">
        <f>'[9]LRA SP2D'!$R$330</f>
        <v>2400000</v>
      </c>
      <c r="Q330" s="353">
        <v>800000</v>
      </c>
      <c r="R330" s="353">
        <f t="shared" si="105"/>
        <v>3200000</v>
      </c>
      <c r="S330" s="353">
        <f>'[8]SPJ FUNGSIONAL '!V336</f>
        <v>3200000</v>
      </c>
      <c r="T330" s="353">
        <f>'[8]SPJ FUNGSIONAL '!W336</f>
        <v>0</v>
      </c>
      <c r="U330" s="353">
        <f t="shared" si="102"/>
        <v>3200000</v>
      </c>
      <c r="V330" s="353">
        <f t="shared" si="104"/>
        <v>0</v>
      </c>
      <c r="W330" s="353">
        <v>0</v>
      </c>
      <c r="X330" s="353">
        <f t="shared" si="103"/>
        <v>0</v>
      </c>
      <c r="Y330" s="354">
        <f t="shared" si="116"/>
        <v>1</v>
      </c>
    </row>
    <row r="331" spans="1:25" s="284" customFormat="1" ht="35.25" customHeight="1">
      <c r="A331" s="450">
        <v>7</v>
      </c>
      <c r="B331" s="451" t="s">
        <v>348</v>
      </c>
      <c r="C331" s="451" t="s">
        <v>359</v>
      </c>
      <c r="D331" s="407">
        <v>2</v>
      </c>
      <c r="E331" s="408" t="s">
        <v>348</v>
      </c>
      <c r="F331" s="408" t="s">
        <v>365</v>
      </c>
      <c r="G331" s="407">
        <v>5</v>
      </c>
      <c r="H331" s="407">
        <v>1</v>
      </c>
      <c r="I331" s="408" t="s">
        <v>350</v>
      </c>
      <c r="J331" s="408" t="s">
        <v>350</v>
      </c>
      <c r="K331" s="408" t="s">
        <v>348</v>
      </c>
      <c r="L331" s="408" t="s">
        <v>354</v>
      </c>
      <c r="M331" s="493">
        <v>4</v>
      </c>
      <c r="N331" s="469" t="s">
        <v>534</v>
      </c>
      <c r="O331" s="500">
        <f>'[8]SPJ FUNGSIONAL '!O337</f>
        <v>1320000</v>
      </c>
      <c r="P331" s="353">
        <f t="shared" ref="P331:P332" si="119">S331</f>
        <v>440000</v>
      </c>
      <c r="Q331" s="353"/>
      <c r="R331" s="353">
        <f t="shared" ref="R331:R340" si="120">SUM(P331:Q331)</f>
        <v>440000</v>
      </c>
      <c r="S331" s="353">
        <f>'[8]SPJ FUNGSIONAL '!V337</f>
        <v>440000</v>
      </c>
      <c r="T331" s="353">
        <f>'[8]SPJ FUNGSIONAL '!W337</f>
        <v>880000</v>
      </c>
      <c r="U331" s="353">
        <f t="shared" ref="U331:U340" si="121">SUM(S331:T331)</f>
        <v>1320000</v>
      </c>
      <c r="V331" s="353">
        <f t="shared" si="104"/>
        <v>0</v>
      </c>
      <c r="W331" s="353"/>
      <c r="X331" s="353">
        <f t="shared" si="103"/>
        <v>-880000</v>
      </c>
      <c r="Y331" s="354">
        <f t="shared" si="116"/>
        <v>1</v>
      </c>
    </row>
    <row r="332" spans="1:25" s="284" customFormat="1" ht="35.25" customHeight="1">
      <c r="A332" s="450">
        <v>7</v>
      </c>
      <c r="B332" s="451" t="s">
        <v>348</v>
      </c>
      <c r="C332" s="451" t="s">
        <v>359</v>
      </c>
      <c r="D332" s="407">
        <v>2</v>
      </c>
      <c r="E332" s="408" t="s">
        <v>348</v>
      </c>
      <c r="F332" s="408" t="s">
        <v>365</v>
      </c>
      <c r="G332" s="407">
        <v>5</v>
      </c>
      <c r="H332" s="407">
        <v>1</v>
      </c>
      <c r="I332" s="408" t="s">
        <v>350</v>
      </c>
      <c r="J332" s="408" t="s">
        <v>350</v>
      </c>
      <c r="K332" s="408" t="s">
        <v>348</v>
      </c>
      <c r="L332" s="408" t="s">
        <v>380</v>
      </c>
      <c r="M332" s="493">
        <v>7</v>
      </c>
      <c r="N332" s="469" t="s">
        <v>529</v>
      </c>
      <c r="O332" s="500">
        <f>'[8]SPJ FUNGSIONAL '!O338</f>
        <v>11250000</v>
      </c>
      <c r="P332" s="353">
        <f t="shared" si="119"/>
        <v>6400000</v>
      </c>
      <c r="Q332" s="353"/>
      <c r="R332" s="353">
        <f t="shared" si="120"/>
        <v>6400000</v>
      </c>
      <c r="S332" s="353">
        <f>'[8]SPJ FUNGSIONAL '!V338</f>
        <v>6400000</v>
      </c>
      <c r="T332" s="353">
        <f>'[8]SPJ FUNGSIONAL '!W338</f>
        <v>2250000</v>
      </c>
      <c r="U332" s="353">
        <f t="shared" si="121"/>
        <v>8650000</v>
      </c>
      <c r="V332" s="353">
        <f t="shared" si="104"/>
        <v>2600000</v>
      </c>
      <c r="W332" s="353"/>
      <c r="X332" s="353">
        <f t="shared" si="103"/>
        <v>-2250000</v>
      </c>
      <c r="Y332" s="354">
        <f t="shared" si="116"/>
        <v>0.76888888888888884</v>
      </c>
    </row>
    <row r="333" spans="1:25" s="288" customFormat="1" ht="35.25" customHeight="1">
      <c r="A333" s="459">
        <v>7</v>
      </c>
      <c r="B333" s="460" t="s">
        <v>348</v>
      </c>
      <c r="C333" s="460" t="s">
        <v>357</v>
      </c>
      <c r="D333" s="388">
        <v>2</v>
      </c>
      <c r="E333" s="461" t="s">
        <v>350</v>
      </c>
      <c r="F333" s="461" t="s">
        <v>348</v>
      </c>
      <c r="G333" s="462">
        <v>5</v>
      </c>
      <c r="H333" s="462">
        <v>1</v>
      </c>
      <c r="I333" s="461" t="s">
        <v>350</v>
      </c>
      <c r="J333" s="401" t="s">
        <v>350</v>
      </c>
      <c r="K333" s="401" t="s">
        <v>363</v>
      </c>
      <c r="L333" s="463"/>
      <c r="M333" s="464"/>
      <c r="N333" s="410" t="s">
        <v>496</v>
      </c>
      <c r="O333" s="501">
        <f>O334</f>
        <v>1000000</v>
      </c>
      <c r="P333" s="465"/>
      <c r="Q333" s="465"/>
      <c r="R333" s="305"/>
      <c r="S333" s="501">
        <f>S334</f>
        <v>0</v>
      </c>
      <c r="T333" s="501">
        <f t="shared" ref="T333" si="122">T334</f>
        <v>1000000</v>
      </c>
      <c r="U333" s="305">
        <f>SUM(S333:T333)</f>
        <v>1000000</v>
      </c>
      <c r="V333" s="305"/>
      <c r="W333" s="305"/>
      <c r="X333" s="305">
        <f t="shared" si="103"/>
        <v>-1000000</v>
      </c>
      <c r="Y333" s="307">
        <f t="shared" si="116"/>
        <v>1</v>
      </c>
    </row>
    <row r="334" spans="1:25" s="284" customFormat="1" ht="35.25" customHeight="1">
      <c r="A334" s="450">
        <v>7</v>
      </c>
      <c r="B334" s="451" t="s">
        <v>348</v>
      </c>
      <c r="C334" s="451" t="s">
        <v>357</v>
      </c>
      <c r="D334" s="407">
        <v>2</v>
      </c>
      <c r="E334" s="467" t="s">
        <v>350</v>
      </c>
      <c r="F334" s="467" t="s">
        <v>348</v>
      </c>
      <c r="G334" s="468">
        <v>5</v>
      </c>
      <c r="H334" s="468">
        <v>1</v>
      </c>
      <c r="I334" s="467" t="s">
        <v>350</v>
      </c>
      <c r="J334" s="406" t="s">
        <v>350</v>
      </c>
      <c r="K334" s="406" t="s">
        <v>363</v>
      </c>
      <c r="L334" s="406" t="s">
        <v>384</v>
      </c>
      <c r="M334" s="403">
        <v>8</v>
      </c>
      <c r="N334" s="469" t="s">
        <v>535</v>
      </c>
      <c r="O334" s="500">
        <f>'[8]SPJ FUNGSIONAL '!O340</f>
        <v>1000000</v>
      </c>
      <c r="P334" s="470"/>
      <c r="Q334" s="470"/>
      <c r="R334" s="353"/>
      <c r="S334" s="353"/>
      <c r="T334" s="353">
        <f>'[8]SPJ FUNGSIONAL '!W340</f>
        <v>1000000</v>
      </c>
      <c r="U334" s="353">
        <f>SUM(S334:T334)</f>
        <v>1000000</v>
      </c>
      <c r="V334" s="353"/>
      <c r="W334" s="353"/>
      <c r="X334" s="353">
        <f t="shared" si="103"/>
        <v>-1000000</v>
      </c>
      <c r="Y334" s="354">
        <f t="shared" si="116"/>
        <v>1</v>
      </c>
    </row>
    <row r="335" spans="1:25" s="284" customFormat="1" ht="35.25" customHeight="1">
      <c r="A335" s="459">
        <v>7</v>
      </c>
      <c r="B335" s="460" t="s">
        <v>348</v>
      </c>
      <c r="C335" s="460" t="s">
        <v>359</v>
      </c>
      <c r="D335" s="388">
        <v>2</v>
      </c>
      <c r="E335" s="387" t="s">
        <v>348</v>
      </c>
      <c r="F335" s="387" t="s">
        <v>365</v>
      </c>
      <c r="G335" s="388">
        <v>5</v>
      </c>
      <c r="H335" s="388">
        <v>1</v>
      </c>
      <c r="I335" s="387" t="s">
        <v>350</v>
      </c>
      <c r="J335" s="387" t="s">
        <v>382</v>
      </c>
      <c r="K335" s="388"/>
      <c r="L335" s="407"/>
      <c r="M335" s="492"/>
      <c r="N335" s="404" t="s">
        <v>400</v>
      </c>
      <c r="O335" s="501">
        <f>O336</f>
        <v>5775000</v>
      </c>
      <c r="P335" s="501">
        <f t="shared" ref="P335:Q336" si="123">P336</f>
        <v>1050000</v>
      </c>
      <c r="Q335" s="501">
        <f t="shared" si="123"/>
        <v>0</v>
      </c>
      <c r="R335" s="305">
        <f t="shared" si="120"/>
        <v>1050000</v>
      </c>
      <c r="S335" s="305">
        <f>S336</f>
        <v>1050000</v>
      </c>
      <c r="T335" s="305">
        <f>T336</f>
        <v>3700000</v>
      </c>
      <c r="U335" s="305">
        <f t="shared" si="121"/>
        <v>4750000</v>
      </c>
      <c r="V335" s="305">
        <f t="shared" si="104"/>
        <v>1025000</v>
      </c>
      <c r="W335" s="305"/>
      <c r="X335" s="305">
        <f t="shared" si="103"/>
        <v>-3700000</v>
      </c>
      <c r="Y335" s="307">
        <f t="shared" si="116"/>
        <v>0.82251082251082253</v>
      </c>
    </row>
    <row r="336" spans="1:25" s="284" customFormat="1" ht="35.25" customHeight="1">
      <c r="A336" s="459">
        <v>7</v>
      </c>
      <c r="B336" s="460" t="s">
        <v>348</v>
      </c>
      <c r="C336" s="460" t="s">
        <v>359</v>
      </c>
      <c r="D336" s="388">
        <v>2</v>
      </c>
      <c r="E336" s="387" t="s">
        <v>348</v>
      </c>
      <c r="F336" s="387" t="s">
        <v>365</v>
      </c>
      <c r="G336" s="388">
        <v>5</v>
      </c>
      <c r="H336" s="388">
        <v>1</v>
      </c>
      <c r="I336" s="387" t="s">
        <v>350</v>
      </c>
      <c r="J336" s="387" t="s">
        <v>382</v>
      </c>
      <c r="K336" s="387" t="s">
        <v>348</v>
      </c>
      <c r="L336" s="407"/>
      <c r="M336" s="492"/>
      <c r="N336" s="484" t="s">
        <v>401</v>
      </c>
      <c r="O336" s="501">
        <f>O337</f>
        <v>5775000</v>
      </c>
      <c r="P336" s="501">
        <f t="shared" si="123"/>
        <v>1050000</v>
      </c>
      <c r="Q336" s="501">
        <f t="shared" si="123"/>
        <v>0</v>
      </c>
      <c r="R336" s="305">
        <f t="shared" si="120"/>
        <v>1050000</v>
      </c>
      <c r="S336" s="305">
        <f>S337</f>
        <v>1050000</v>
      </c>
      <c r="T336" s="305">
        <f>T337</f>
        <v>3700000</v>
      </c>
      <c r="U336" s="305">
        <f t="shared" si="121"/>
        <v>4750000</v>
      </c>
      <c r="V336" s="305">
        <f t="shared" si="104"/>
        <v>1025000</v>
      </c>
      <c r="W336" s="305"/>
      <c r="X336" s="305">
        <f t="shared" si="103"/>
        <v>-3700000</v>
      </c>
      <c r="Y336" s="307">
        <f t="shared" si="116"/>
        <v>0.82251082251082253</v>
      </c>
    </row>
    <row r="337" spans="1:31" s="284" customFormat="1" ht="35.25" customHeight="1">
      <c r="A337" s="450">
        <v>7</v>
      </c>
      <c r="B337" s="451" t="s">
        <v>348</v>
      </c>
      <c r="C337" s="451" t="s">
        <v>359</v>
      </c>
      <c r="D337" s="407">
        <v>2</v>
      </c>
      <c r="E337" s="408" t="s">
        <v>348</v>
      </c>
      <c r="F337" s="408" t="s">
        <v>365</v>
      </c>
      <c r="G337" s="407">
        <v>5</v>
      </c>
      <c r="H337" s="407">
        <v>1</v>
      </c>
      <c r="I337" s="408" t="s">
        <v>350</v>
      </c>
      <c r="J337" s="408" t="s">
        <v>382</v>
      </c>
      <c r="K337" s="408" t="s">
        <v>348</v>
      </c>
      <c r="L337" s="408" t="s">
        <v>354</v>
      </c>
      <c r="M337" s="492">
        <v>3</v>
      </c>
      <c r="N337" s="469" t="s">
        <v>520</v>
      </c>
      <c r="O337" s="500">
        <f>'[8]SPJ FUNGSIONAL '!O343</f>
        <v>5775000</v>
      </c>
      <c r="P337" s="353">
        <f>S337</f>
        <v>1050000</v>
      </c>
      <c r="Q337" s="353"/>
      <c r="R337" s="353">
        <f t="shared" si="120"/>
        <v>1050000</v>
      </c>
      <c r="S337" s="353">
        <f>'[8]SPJ FUNGSIONAL '!V343</f>
        <v>1050000</v>
      </c>
      <c r="T337" s="353">
        <f>'[8]SPJ FUNGSIONAL '!W343</f>
        <v>3700000</v>
      </c>
      <c r="U337" s="353">
        <f t="shared" si="121"/>
        <v>4750000</v>
      </c>
      <c r="V337" s="353">
        <f t="shared" si="104"/>
        <v>1025000</v>
      </c>
      <c r="W337" s="353"/>
      <c r="X337" s="353">
        <f t="shared" si="103"/>
        <v>-3700000</v>
      </c>
      <c r="Y337" s="354">
        <f t="shared" si="116"/>
        <v>0.82251082251082253</v>
      </c>
    </row>
    <row r="338" spans="1:31" s="284" customFormat="1" ht="35.25" customHeight="1">
      <c r="A338" s="459">
        <v>7</v>
      </c>
      <c r="B338" s="460" t="s">
        <v>348</v>
      </c>
      <c r="C338" s="460" t="s">
        <v>359</v>
      </c>
      <c r="D338" s="388">
        <v>2</v>
      </c>
      <c r="E338" s="387" t="s">
        <v>348</v>
      </c>
      <c r="F338" s="387" t="s">
        <v>365</v>
      </c>
      <c r="G338" s="388">
        <v>5</v>
      </c>
      <c r="H338" s="388">
        <v>1</v>
      </c>
      <c r="I338" s="387" t="s">
        <v>350</v>
      </c>
      <c r="J338" s="387" t="s">
        <v>359</v>
      </c>
      <c r="K338" s="388"/>
      <c r="L338" s="407"/>
      <c r="M338" s="492"/>
      <c r="N338" s="404" t="s">
        <v>484</v>
      </c>
      <c r="O338" s="501">
        <f t="shared" ref="O338:Q339" si="124">O339</f>
        <v>18400000</v>
      </c>
      <c r="P338" s="305">
        <f t="shared" si="124"/>
        <v>3100000</v>
      </c>
      <c r="Q338" s="305">
        <f t="shared" si="124"/>
        <v>0</v>
      </c>
      <c r="R338" s="305">
        <f t="shared" si="120"/>
        <v>3100000</v>
      </c>
      <c r="S338" s="305">
        <f>S339</f>
        <v>3100000</v>
      </c>
      <c r="T338" s="305">
        <f>T339</f>
        <v>6100000</v>
      </c>
      <c r="U338" s="305">
        <f t="shared" si="121"/>
        <v>9200000</v>
      </c>
      <c r="V338" s="305">
        <f t="shared" si="104"/>
        <v>9200000</v>
      </c>
      <c r="W338" s="305"/>
      <c r="X338" s="305">
        <f t="shared" si="103"/>
        <v>-6100000</v>
      </c>
      <c r="Y338" s="307">
        <f t="shared" si="116"/>
        <v>0.5</v>
      </c>
    </row>
    <row r="339" spans="1:31" s="284" customFormat="1" ht="35.25" customHeight="1">
      <c r="A339" s="459">
        <v>7</v>
      </c>
      <c r="B339" s="460" t="s">
        <v>348</v>
      </c>
      <c r="C339" s="460" t="s">
        <v>359</v>
      </c>
      <c r="D339" s="388">
        <v>2</v>
      </c>
      <c r="E339" s="387" t="s">
        <v>348</v>
      </c>
      <c r="F339" s="387" t="s">
        <v>365</v>
      </c>
      <c r="G339" s="388">
        <v>5</v>
      </c>
      <c r="H339" s="388">
        <v>1</v>
      </c>
      <c r="I339" s="387" t="s">
        <v>350</v>
      </c>
      <c r="J339" s="387" t="s">
        <v>359</v>
      </c>
      <c r="K339" s="502" t="s">
        <v>348</v>
      </c>
      <c r="L339" s="503"/>
      <c r="M339" s="493"/>
      <c r="N339" s="404" t="s">
        <v>485</v>
      </c>
      <c r="O339" s="501">
        <f t="shared" si="124"/>
        <v>18400000</v>
      </c>
      <c r="P339" s="305">
        <f t="shared" si="124"/>
        <v>3100000</v>
      </c>
      <c r="Q339" s="305">
        <f t="shared" si="124"/>
        <v>0</v>
      </c>
      <c r="R339" s="305">
        <f t="shared" si="120"/>
        <v>3100000</v>
      </c>
      <c r="S339" s="305">
        <f>S340</f>
        <v>3100000</v>
      </c>
      <c r="T339" s="305">
        <f>T340</f>
        <v>6100000</v>
      </c>
      <c r="U339" s="305">
        <f t="shared" si="121"/>
        <v>9200000</v>
      </c>
      <c r="V339" s="305">
        <f t="shared" si="104"/>
        <v>9200000</v>
      </c>
      <c r="W339" s="305"/>
      <c r="X339" s="305">
        <f t="shared" si="103"/>
        <v>-6100000</v>
      </c>
      <c r="Y339" s="307">
        <f t="shared" si="116"/>
        <v>0.5</v>
      </c>
    </row>
    <row r="340" spans="1:31" s="284" customFormat="1" ht="35.25" customHeight="1">
      <c r="A340" s="450">
        <v>7</v>
      </c>
      <c r="B340" s="451" t="s">
        <v>348</v>
      </c>
      <c r="C340" s="451" t="s">
        <v>359</v>
      </c>
      <c r="D340" s="407">
        <v>2</v>
      </c>
      <c r="E340" s="408" t="s">
        <v>348</v>
      </c>
      <c r="F340" s="408" t="s">
        <v>365</v>
      </c>
      <c r="G340" s="407">
        <v>5</v>
      </c>
      <c r="H340" s="407">
        <v>1</v>
      </c>
      <c r="I340" s="408" t="s">
        <v>350</v>
      </c>
      <c r="J340" s="408" t="s">
        <v>359</v>
      </c>
      <c r="K340" s="503" t="s">
        <v>348</v>
      </c>
      <c r="L340" s="503" t="s">
        <v>354</v>
      </c>
      <c r="M340" s="493">
        <v>1</v>
      </c>
      <c r="N340" s="469" t="s">
        <v>530</v>
      </c>
      <c r="O340" s="500">
        <f>'[8]SPJ FUNGSIONAL '!O346</f>
        <v>18400000</v>
      </c>
      <c r="P340" s="353">
        <f>S340</f>
        <v>3100000</v>
      </c>
      <c r="Q340" s="353">
        <v>0</v>
      </c>
      <c r="R340" s="353">
        <f t="shared" si="120"/>
        <v>3100000</v>
      </c>
      <c r="S340" s="353">
        <f>'[8]SPJ FUNGSIONAL '!V346</f>
        <v>3100000</v>
      </c>
      <c r="T340" s="353">
        <f>'[8]SPJ FUNGSIONAL '!W346</f>
        <v>6100000</v>
      </c>
      <c r="U340" s="353">
        <f t="shared" si="121"/>
        <v>9200000</v>
      </c>
      <c r="V340" s="353">
        <f t="shared" si="104"/>
        <v>9200000</v>
      </c>
      <c r="W340" s="353"/>
      <c r="X340" s="353">
        <f t="shared" si="103"/>
        <v>-6100000</v>
      </c>
      <c r="Y340" s="354">
        <f t="shared" si="116"/>
        <v>0.5</v>
      </c>
    </row>
    <row r="341" spans="1:31" s="284" customFormat="1" ht="35.25" customHeight="1">
      <c r="A341" s="441"/>
      <c r="B341" s="442"/>
      <c r="C341" s="442"/>
      <c r="D341" s="349"/>
      <c r="E341" s="348"/>
      <c r="F341" s="348"/>
      <c r="G341" s="349"/>
      <c r="H341" s="349"/>
      <c r="I341" s="348"/>
      <c r="J341" s="348"/>
      <c r="K341" s="348"/>
      <c r="L341" s="348"/>
      <c r="M341" s="350"/>
      <c r="N341" s="504"/>
      <c r="O341" s="353"/>
      <c r="P341" s="353"/>
      <c r="Q341" s="353"/>
      <c r="R341" s="353"/>
      <c r="S341" s="353"/>
      <c r="T341" s="353"/>
      <c r="U341" s="353"/>
      <c r="V341" s="353"/>
      <c r="W341" s="353"/>
      <c r="X341" s="353"/>
      <c r="Y341" s="354"/>
      <c r="AE341" s="355">
        <v>772000000</v>
      </c>
    </row>
    <row r="342" spans="1:31" s="508" customFormat="1" ht="25" customHeight="1">
      <c r="A342" s="447"/>
      <c r="B342" s="447"/>
      <c r="C342" s="447"/>
      <c r="D342" s="505"/>
      <c r="E342" s="505"/>
      <c r="F342" s="505"/>
      <c r="G342" s="505"/>
      <c r="H342" s="505"/>
      <c r="I342" s="505"/>
      <c r="J342" s="505"/>
      <c r="K342" s="505"/>
      <c r="L342" s="505"/>
      <c r="M342" s="505"/>
      <c r="N342" s="447"/>
      <c r="O342" s="506"/>
      <c r="P342" s="507"/>
      <c r="Q342" s="507"/>
      <c r="R342" s="507"/>
      <c r="S342" s="507"/>
      <c r="T342" s="507"/>
      <c r="U342" s="507"/>
      <c r="V342" s="507"/>
      <c r="W342" s="507"/>
      <c r="X342" s="507"/>
      <c r="AE342" s="509">
        <v>302044685</v>
      </c>
    </row>
    <row r="343" spans="1:31" s="508" customFormat="1" ht="25" customHeight="1">
      <c r="N343" s="510" t="s">
        <v>536</v>
      </c>
      <c r="O343" s="511"/>
      <c r="P343" s="512"/>
      <c r="Q343" s="512"/>
      <c r="R343" s="512"/>
      <c r="S343" s="512"/>
      <c r="T343" s="512"/>
      <c r="U343" s="513"/>
      <c r="V343" s="514" t="str">
        <f>'[8]SPJ FUNGSIONAL '!V399:Y399</f>
        <v>Padang Panjang, 30 Desember  2022</v>
      </c>
      <c r="W343" s="515"/>
      <c r="X343" s="507"/>
      <c r="AE343" s="509">
        <f>AE341-AE342</f>
        <v>469955315</v>
      </c>
    </row>
    <row r="344" spans="1:31" s="508" customFormat="1" ht="25" customHeight="1">
      <c r="N344" s="510" t="s">
        <v>537</v>
      </c>
      <c r="O344" s="511"/>
      <c r="P344" s="512"/>
      <c r="Q344" s="512"/>
      <c r="R344" s="512"/>
      <c r="S344" s="512"/>
      <c r="T344" s="512"/>
      <c r="U344" s="513"/>
      <c r="V344" s="516"/>
      <c r="W344" s="517"/>
      <c r="X344" s="507"/>
    </row>
    <row r="345" spans="1:31" s="508" customFormat="1" ht="25" customHeight="1">
      <c r="N345" s="510" t="s">
        <v>538</v>
      </c>
      <c r="O345" s="511"/>
      <c r="P345" s="512"/>
      <c r="Q345" s="512"/>
      <c r="R345" s="512"/>
      <c r="S345" s="512"/>
      <c r="T345" s="512"/>
      <c r="U345" s="513"/>
      <c r="V345" s="514" t="s">
        <v>539</v>
      </c>
      <c r="W345" s="517"/>
      <c r="X345" s="507"/>
    </row>
    <row r="346" spans="1:31" s="508" customFormat="1" ht="25" customHeight="1">
      <c r="N346" s="510"/>
      <c r="O346" s="511"/>
      <c r="P346" s="512"/>
      <c r="Q346" s="512"/>
      <c r="R346" s="512"/>
      <c r="S346" s="512"/>
      <c r="T346" s="512"/>
      <c r="U346" s="513"/>
      <c r="V346" s="514"/>
      <c r="W346" s="517"/>
      <c r="X346" s="507"/>
    </row>
    <row r="347" spans="1:31" s="508" customFormat="1" ht="25" customHeight="1">
      <c r="N347" s="510"/>
      <c r="O347" s="511"/>
      <c r="P347" s="512"/>
      <c r="Q347" s="512"/>
      <c r="R347" s="512"/>
      <c r="S347" s="512"/>
      <c r="T347" s="512"/>
      <c r="U347" s="513"/>
      <c r="V347" s="514"/>
      <c r="W347" s="517"/>
      <c r="X347" s="507"/>
    </row>
    <row r="348" spans="1:31" s="508" customFormat="1" ht="25" customHeight="1">
      <c r="N348" s="510"/>
      <c r="O348" s="511"/>
      <c r="P348" s="512"/>
      <c r="Q348" s="512"/>
      <c r="R348" s="512"/>
      <c r="S348" s="512"/>
      <c r="T348" s="512"/>
      <c r="U348" s="513"/>
      <c r="V348" s="514"/>
      <c r="W348" s="517"/>
      <c r="X348" s="507"/>
    </row>
    <row r="349" spans="1:31" s="508" customFormat="1" ht="25" customHeight="1">
      <c r="N349" s="510"/>
      <c r="O349" s="511"/>
      <c r="P349" s="512"/>
      <c r="Q349" s="512"/>
      <c r="R349" s="512"/>
      <c r="S349" s="512"/>
      <c r="T349" s="512"/>
      <c r="U349" s="513"/>
      <c r="V349" s="514"/>
      <c r="W349" s="517"/>
      <c r="X349" s="507"/>
    </row>
    <row r="350" spans="1:31" s="508" customFormat="1" ht="25" customHeight="1">
      <c r="N350" s="510"/>
      <c r="O350" s="511"/>
      <c r="P350" s="512"/>
      <c r="Q350" s="512"/>
      <c r="R350" s="512"/>
      <c r="S350" s="512"/>
      <c r="T350" s="512"/>
      <c r="U350" s="513"/>
      <c r="V350" s="518"/>
      <c r="W350" s="519"/>
      <c r="X350" s="507"/>
    </row>
    <row r="351" spans="1:31" s="508" customFormat="1" ht="25" customHeight="1">
      <c r="N351" s="520"/>
      <c r="O351" s="511"/>
      <c r="P351" s="512"/>
      <c r="Q351" s="512"/>
      <c r="R351" s="512"/>
      <c r="S351" s="512"/>
      <c r="T351" s="512"/>
      <c r="U351" s="513"/>
      <c r="V351" s="518"/>
      <c r="W351" s="521"/>
      <c r="X351" s="507"/>
    </row>
    <row r="352" spans="1:31" s="508" customFormat="1" ht="25" customHeight="1">
      <c r="N352" s="522" t="str">
        <f>'[8]SPJ FUNGSIONAL '!N406</f>
        <v xml:space="preserve">Drs. A S R U L </v>
      </c>
      <c r="O352" s="511"/>
      <c r="P352" s="512"/>
      <c r="Q352" s="512"/>
      <c r="R352" s="512"/>
      <c r="S352" s="512"/>
      <c r="T352" s="512"/>
      <c r="U352" s="513"/>
      <c r="V352" s="523" t="s">
        <v>540</v>
      </c>
      <c r="W352" s="524"/>
      <c r="X352" s="524"/>
      <c r="Y352" s="524"/>
    </row>
    <row r="353" spans="14:25" s="508" customFormat="1" ht="25" customHeight="1">
      <c r="N353" s="525" t="str">
        <f>'[8]SPJ FUNGSIONAL '!N407</f>
        <v>NIP. 196511121997021004</v>
      </c>
      <c r="O353" s="511"/>
      <c r="P353" s="512"/>
      <c r="Q353" s="512"/>
      <c r="R353" s="512"/>
      <c r="S353" s="512"/>
      <c r="T353" s="512"/>
      <c r="U353" s="526"/>
      <c r="V353" s="527" t="s">
        <v>541</v>
      </c>
      <c r="W353" s="528"/>
      <c r="X353" s="528"/>
      <c r="Y353" s="528"/>
    </row>
    <row r="354" spans="14:25" s="508" customFormat="1" ht="25" customHeight="1">
      <c r="N354" s="511"/>
      <c r="O354" s="511"/>
      <c r="P354" s="512"/>
      <c r="Q354" s="512"/>
      <c r="R354" s="512"/>
      <c r="S354" s="512"/>
      <c r="T354" s="512"/>
      <c r="U354" s="526"/>
      <c r="V354" s="512"/>
      <c r="W354" s="521"/>
      <c r="X354" s="507"/>
    </row>
    <row r="355" spans="14:25" s="508" customFormat="1" ht="25" customHeight="1">
      <c r="N355" s="511"/>
      <c r="O355" s="511"/>
      <c r="P355" s="512"/>
      <c r="Q355" s="512"/>
      <c r="R355" s="512"/>
      <c r="S355" s="512"/>
      <c r="T355" s="512"/>
      <c r="U355" s="512"/>
      <c r="V355" s="512"/>
      <c r="W355" s="521"/>
      <c r="X355" s="507"/>
    </row>
    <row r="356" spans="14:25" s="508" customFormat="1" ht="25" customHeight="1">
      <c r="N356" s="511"/>
      <c r="O356" s="511"/>
      <c r="P356" s="512"/>
      <c r="Q356" s="512"/>
      <c r="R356" s="512"/>
      <c r="S356" s="512"/>
      <c r="T356" s="512"/>
      <c r="U356" s="512"/>
      <c r="V356" s="512"/>
      <c r="W356" s="521"/>
      <c r="X356" s="507"/>
    </row>
    <row r="357" spans="14:25" s="508" customFormat="1" ht="25" customHeight="1">
      <c r="O357" s="529"/>
      <c r="P357" s="507"/>
      <c r="Q357" s="507"/>
      <c r="R357" s="507"/>
      <c r="S357" s="507"/>
      <c r="T357" s="507"/>
      <c r="U357" s="507"/>
      <c r="V357" s="507"/>
      <c r="W357" s="507"/>
      <c r="X357" s="507"/>
    </row>
    <row r="358" spans="14:25" s="508" customFormat="1" ht="25" customHeight="1">
      <c r="O358" s="529"/>
      <c r="P358" s="507"/>
      <c r="Q358" s="507"/>
      <c r="R358" s="507"/>
      <c r="S358" s="507"/>
      <c r="T358" s="507"/>
      <c r="U358" s="507"/>
      <c r="V358" s="507"/>
      <c r="W358" s="507"/>
      <c r="X358" s="507"/>
    </row>
    <row r="359" spans="14:25" s="508" customFormat="1" ht="25" customHeight="1">
      <c r="O359" s="529"/>
      <c r="P359" s="507"/>
      <c r="Q359" s="507"/>
      <c r="R359" s="507"/>
      <c r="S359" s="507"/>
      <c r="T359" s="507"/>
      <c r="U359" s="507"/>
      <c r="V359" s="507"/>
      <c r="W359" s="507"/>
      <c r="X359" s="507"/>
    </row>
    <row r="360" spans="14:25" s="508" customFormat="1" ht="25" customHeight="1">
      <c r="O360" s="529"/>
      <c r="P360" s="507"/>
      <c r="Q360" s="507"/>
      <c r="R360" s="507"/>
      <c r="S360" s="507"/>
      <c r="T360" s="507"/>
      <c r="U360" s="507"/>
      <c r="V360" s="507"/>
      <c r="W360" s="507"/>
      <c r="X360" s="507"/>
    </row>
    <row r="361" spans="14:25" s="508" customFormat="1" ht="25" customHeight="1">
      <c r="O361" s="529"/>
      <c r="P361" s="507"/>
      <c r="Q361" s="507"/>
      <c r="R361" s="507"/>
      <c r="S361" s="507"/>
      <c r="T361" s="507"/>
      <c r="U361" s="507"/>
      <c r="V361" s="507"/>
      <c r="W361" s="507"/>
      <c r="X361" s="507"/>
    </row>
    <row r="362" spans="14:25" s="508" customFormat="1" ht="25" customHeight="1">
      <c r="O362" s="529"/>
      <c r="P362" s="507"/>
      <c r="Q362" s="507"/>
      <c r="R362" s="507"/>
      <c r="S362" s="507"/>
      <c r="T362" s="507"/>
      <c r="U362" s="507"/>
      <c r="V362" s="507"/>
      <c r="W362" s="507"/>
      <c r="X362" s="507"/>
    </row>
    <row r="363" spans="14:25" s="508" customFormat="1" ht="25" customHeight="1">
      <c r="O363" s="529"/>
      <c r="P363" s="507"/>
      <c r="Q363" s="507"/>
      <c r="R363" s="507"/>
      <c r="S363" s="507"/>
      <c r="T363" s="507"/>
      <c r="U363" s="507"/>
      <c r="V363" s="507"/>
      <c r="W363" s="507"/>
      <c r="X363" s="507"/>
    </row>
    <row r="364" spans="14:25" s="508" customFormat="1" ht="25" customHeight="1">
      <c r="O364" s="529"/>
      <c r="P364" s="507"/>
      <c r="Q364" s="507"/>
      <c r="R364" s="507"/>
      <c r="S364" s="507"/>
      <c r="T364" s="507"/>
      <c r="U364" s="507"/>
      <c r="V364" s="507"/>
      <c r="W364" s="507"/>
      <c r="X364" s="507"/>
    </row>
    <row r="365" spans="14:25" s="508" customFormat="1" ht="25" customHeight="1">
      <c r="O365" s="529"/>
      <c r="P365" s="507"/>
      <c r="Q365" s="507"/>
      <c r="R365" s="507"/>
      <c r="S365" s="507"/>
      <c r="T365" s="507"/>
      <c r="U365" s="507"/>
      <c r="V365" s="507"/>
      <c r="W365" s="507"/>
      <c r="X365" s="507"/>
    </row>
    <row r="366" spans="14:25" s="508" customFormat="1" ht="25" customHeight="1">
      <c r="O366" s="529"/>
      <c r="P366" s="507"/>
      <c r="Q366" s="507"/>
      <c r="R366" s="507"/>
      <c r="S366" s="507"/>
      <c r="T366" s="507"/>
      <c r="U366" s="507"/>
      <c r="V366" s="507"/>
      <c r="W366" s="507"/>
      <c r="X366" s="507"/>
    </row>
    <row r="367" spans="14:25" s="508" customFormat="1" ht="25" customHeight="1">
      <c r="O367" s="529"/>
      <c r="P367" s="507"/>
      <c r="Q367" s="507"/>
      <c r="R367" s="507"/>
      <c r="S367" s="507"/>
      <c r="T367" s="507"/>
      <c r="U367" s="507"/>
      <c r="V367" s="507"/>
      <c r="W367" s="507"/>
      <c r="X367" s="507"/>
    </row>
    <row r="368" spans="14:25" s="508" customFormat="1" ht="25" customHeight="1">
      <c r="O368" s="529"/>
      <c r="P368" s="507"/>
      <c r="Q368" s="507"/>
      <c r="R368" s="507"/>
      <c r="S368" s="507"/>
      <c r="T368" s="507"/>
      <c r="U368" s="507"/>
      <c r="V368" s="507"/>
      <c r="W368" s="507"/>
      <c r="X368" s="507"/>
    </row>
    <row r="369" spans="15:24" s="508" customFormat="1" ht="25" customHeight="1">
      <c r="O369" s="529"/>
      <c r="P369" s="507"/>
      <c r="Q369" s="507"/>
      <c r="R369" s="507"/>
      <c r="S369" s="507"/>
      <c r="T369" s="507"/>
      <c r="U369" s="507"/>
      <c r="V369" s="507"/>
      <c r="W369" s="507"/>
      <c r="X369" s="507"/>
    </row>
    <row r="370" spans="15:24" s="508" customFormat="1" ht="25" customHeight="1">
      <c r="O370" s="529"/>
      <c r="P370" s="507"/>
      <c r="Q370" s="507"/>
      <c r="R370" s="507"/>
      <c r="S370" s="507"/>
      <c r="T370" s="507"/>
      <c r="U370" s="507"/>
      <c r="V370" s="507"/>
      <c r="W370" s="507"/>
      <c r="X370" s="507"/>
    </row>
    <row r="371" spans="15:24" s="508" customFormat="1" ht="25" customHeight="1">
      <c r="O371" s="529"/>
      <c r="P371" s="507"/>
      <c r="Q371" s="507"/>
      <c r="R371" s="507"/>
      <c r="S371" s="507"/>
      <c r="T371" s="507"/>
      <c r="U371" s="507"/>
      <c r="V371" s="507"/>
      <c r="W371" s="507"/>
      <c r="X371" s="507"/>
    </row>
    <row r="372" spans="15:24" s="508" customFormat="1" ht="25" customHeight="1">
      <c r="O372" s="529"/>
      <c r="P372" s="507"/>
      <c r="Q372" s="507"/>
      <c r="R372" s="507"/>
      <c r="S372" s="507"/>
      <c r="T372" s="507"/>
      <c r="U372" s="507"/>
      <c r="V372" s="507"/>
      <c r="W372" s="507"/>
      <c r="X372" s="507"/>
    </row>
    <row r="373" spans="15:24" s="508" customFormat="1" ht="25" customHeight="1">
      <c r="O373" s="529"/>
      <c r="P373" s="507"/>
      <c r="Q373" s="507"/>
      <c r="R373" s="507"/>
      <c r="S373" s="507"/>
      <c r="T373" s="507"/>
      <c r="U373" s="507"/>
      <c r="V373" s="507"/>
      <c r="W373" s="507"/>
      <c r="X373" s="507"/>
    </row>
    <row r="374" spans="15:24" s="508" customFormat="1" ht="25" customHeight="1">
      <c r="O374" s="529"/>
      <c r="P374" s="507"/>
      <c r="Q374" s="507"/>
      <c r="R374" s="507"/>
      <c r="S374" s="507"/>
      <c r="T374" s="507"/>
      <c r="U374" s="507"/>
      <c r="V374" s="507"/>
      <c r="W374" s="507"/>
      <c r="X374" s="507"/>
    </row>
    <row r="375" spans="15:24" s="508" customFormat="1" ht="25" customHeight="1">
      <c r="O375" s="529"/>
      <c r="P375" s="507"/>
      <c r="Q375" s="507"/>
      <c r="R375" s="507"/>
      <c r="S375" s="507"/>
      <c r="T375" s="507"/>
      <c r="U375" s="507"/>
      <c r="V375" s="507"/>
      <c r="W375" s="507"/>
      <c r="X375" s="507"/>
    </row>
    <row r="376" spans="15:24" s="508" customFormat="1" ht="25" customHeight="1">
      <c r="O376" s="529"/>
      <c r="P376" s="507"/>
      <c r="Q376" s="507"/>
      <c r="R376" s="507"/>
      <c r="S376" s="507"/>
      <c r="T376" s="507"/>
      <c r="U376" s="507"/>
      <c r="V376" s="507"/>
      <c r="W376" s="507"/>
      <c r="X376" s="507"/>
    </row>
    <row r="377" spans="15:24" s="508" customFormat="1" ht="25" customHeight="1">
      <c r="O377" s="529"/>
      <c r="P377" s="507"/>
      <c r="Q377" s="507"/>
      <c r="R377" s="507"/>
      <c r="S377" s="507"/>
      <c r="T377" s="507"/>
      <c r="U377" s="507"/>
      <c r="V377" s="507"/>
      <c r="W377" s="507"/>
      <c r="X377" s="507"/>
    </row>
    <row r="378" spans="15:24" s="508" customFormat="1" ht="25" customHeight="1">
      <c r="O378" s="529"/>
      <c r="P378" s="507"/>
      <c r="Q378" s="507"/>
      <c r="R378" s="507"/>
      <c r="S378" s="507"/>
      <c r="T378" s="507"/>
      <c r="U378" s="507"/>
      <c r="V378" s="507"/>
      <c r="W378" s="507"/>
      <c r="X378" s="507"/>
    </row>
    <row r="379" spans="15:24" s="508" customFormat="1" ht="25" customHeight="1">
      <c r="O379" s="529"/>
      <c r="P379" s="507"/>
      <c r="Q379" s="507"/>
      <c r="R379" s="507"/>
      <c r="S379" s="507"/>
      <c r="T379" s="507"/>
      <c r="U379" s="507"/>
      <c r="V379" s="507"/>
      <c r="W379" s="507"/>
      <c r="X379" s="507"/>
    </row>
    <row r="380" spans="15:24" s="508" customFormat="1" ht="25" customHeight="1">
      <c r="O380" s="529"/>
      <c r="P380" s="507"/>
      <c r="Q380" s="507"/>
      <c r="R380" s="507"/>
      <c r="S380" s="507"/>
      <c r="T380" s="507"/>
      <c r="U380" s="507"/>
      <c r="V380" s="507"/>
      <c r="W380" s="507"/>
      <c r="X380" s="507"/>
    </row>
    <row r="381" spans="15:24" s="508" customFormat="1" ht="25" customHeight="1">
      <c r="O381" s="529"/>
      <c r="P381" s="507"/>
      <c r="Q381" s="507"/>
      <c r="R381" s="507"/>
      <c r="S381" s="507"/>
      <c r="T381" s="507"/>
      <c r="U381" s="507"/>
      <c r="V381" s="507"/>
      <c r="W381" s="507"/>
      <c r="X381" s="507"/>
    </row>
    <row r="382" spans="15:24" s="508" customFormat="1" ht="25" customHeight="1">
      <c r="O382" s="529"/>
      <c r="P382" s="507"/>
      <c r="Q382" s="507"/>
      <c r="R382" s="507"/>
      <c r="S382" s="507"/>
      <c r="T382" s="507"/>
      <c r="U382" s="507"/>
      <c r="V382" s="507"/>
      <c r="W382" s="507"/>
      <c r="X382" s="507"/>
    </row>
    <row r="383" spans="15:24" s="508" customFormat="1" ht="25" customHeight="1">
      <c r="O383" s="529"/>
      <c r="P383" s="507"/>
      <c r="Q383" s="507"/>
      <c r="R383" s="507"/>
      <c r="S383" s="507"/>
      <c r="T383" s="507"/>
      <c r="U383" s="507"/>
      <c r="V383" s="507"/>
      <c r="W383" s="507"/>
      <c r="X383" s="507"/>
    </row>
    <row r="384" spans="15:24" s="508" customFormat="1" ht="25" customHeight="1">
      <c r="O384" s="529"/>
      <c r="P384" s="507"/>
      <c r="Q384" s="507"/>
      <c r="R384" s="507"/>
      <c r="S384" s="507"/>
      <c r="T384" s="507"/>
      <c r="U384" s="507"/>
      <c r="V384" s="507"/>
      <c r="W384" s="507"/>
      <c r="X384" s="507"/>
    </row>
    <row r="385" spans="15:24" s="508" customFormat="1" ht="25" customHeight="1">
      <c r="O385" s="529"/>
      <c r="P385" s="507"/>
      <c r="Q385" s="507"/>
      <c r="R385" s="507"/>
      <c r="S385" s="507"/>
      <c r="T385" s="507"/>
      <c r="U385" s="507"/>
      <c r="V385" s="507"/>
      <c r="W385" s="507"/>
      <c r="X385" s="507"/>
    </row>
    <row r="386" spans="15:24" s="508" customFormat="1" ht="25" customHeight="1">
      <c r="O386" s="529"/>
      <c r="P386" s="507"/>
      <c r="Q386" s="507"/>
      <c r="R386" s="507"/>
      <c r="S386" s="507"/>
      <c r="T386" s="507"/>
      <c r="U386" s="507"/>
      <c r="V386" s="507"/>
      <c r="W386" s="507"/>
      <c r="X386" s="507"/>
    </row>
    <row r="387" spans="15:24" s="508" customFormat="1" ht="25" customHeight="1">
      <c r="O387" s="529"/>
      <c r="P387" s="507"/>
      <c r="Q387" s="507"/>
      <c r="R387" s="507"/>
      <c r="S387" s="507"/>
      <c r="T387" s="507"/>
      <c r="U387" s="507"/>
      <c r="V387" s="507"/>
      <c r="W387" s="507"/>
      <c r="X387" s="507"/>
    </row>
    <row r="388" spans="15:24" s="508" customFormat="1" ht="25" customHeight="1">
      <c r="O388" s="529"/>
      <c r="P388" s="507"/>
      <c r="Q388" s="507"/>
      <c r="R388" s="507"/>
      <c r="S388" s="507"/>
      <c r="T388" s="507"/>
      <c r="U388" s="507"/>
      <c r="V388" s="507"/>
      <c r="W388" s="507"/>
      <c r="X388" s="507"/>
    </row>
    <row r="389" spans="15:24" s="508" customFormat="1" ht="25" customHeight="1">
      <c r="O389" s="529"/>
      <c r="P389" s="507"/>
      <c r="Q389" s="507"/>
      <c r="R389" s="507"/>
      <c r="S389" s="507"/>
      <c r="T389" s="507"/>
      <c r="U389" s="507"/>
      <c r="V389" s="507"/>
      <c r="W389" s="507"/>
      <c r="X389" s="507"/>
    </row>
    <row r="390" spans="15:24" s="508" customFormat="1" ht="25" customHeight="1">
      <c r="O390" s="529"/>
      <c r="P390" s="507"/>
      <c r="Q390" s="507"/>
      <c r="R390" s="507"/>
      <c r="S390" s="507"/>
      <c r="T390" s="507"/>
      <c r="U390" s="507"/>
      <c r="V390" s="507"/>
      <c r="W390" s="507"/>
      <c r="X390" s="507"/>
    </row>
    <row r="391" spans="15:24" s="508" customFormat="1" ht="25" customHeight="1">
      <c r="O391" s="529"/>
      <c r="P391" s="507"/>
      <c r="Q391" s="507"/>
      <c r="R391" s="507"/>
      <c r="S391" s="507"/>
      <c r="T391" s="507"/>
      <c r="U391" s="507"/>
      <c r="V391" s="507"/>
      <c r="W391" s="507"/>
      <c r="X391" s="507"/>
    </row>
    <row r="392" spans="15:24" s="508" customFormat="1" ht="25" customHeight="1">
      <c r="O392" s="529"/>
      <c r="P392" s="507"/>
      <c r="Q392" s="507"/>
      <c r="R392" s="507"/>
      <c r="S392" s="507"/>
      <c r="T392" s="507"/>
      <c r="U392" s="507"/>
      <c r="V392" s="507"/>
      <c r="W392" s="507"/>
      <c r="X392" s="507"/>
    </row>
    <row r="393" spans="15:24" s="508" customFormat="1" ht="25" customHeight="1">
      <c r="O393" s="529"/>
      <c r="P393" s="507"/>
      <c r="Q393" s="507"/>
      <c r="R393" s="507"/>
      <c r="S393" s="507"/>
      <c r="T393" s="507"/>
      <c r="U393" s="507"/>
      <c r="V393" s="507"/>
      <c r="W393" s="507"/>
      <c r="X393" s="507"/>
    </row>
    <row r="394" spans="15:24" s="508" customFormat="1" ht="25" customHeight="1">
      <c r="O394" s="529"/>
      <c r="P394" s="507"/>
      <c r="Q394" s="507"/>
      <c r="R394" s="507"/>
      <c r="S394" s="507"/>
      <c r="T394" s="507"/>
      <c r="U394" s="507"/>
      <c r="V394" s="507"/>
      <c r="W394" s="507"/>
      <c r="X394" s="507"/>
    </row>
    <row r="395" spans="15:24" s="508" customFormat="1" ht="25" customHeight="1">
      <c r="O395" s="529"/>
      <c r="P395" s="507"/>
      <c r="Q395" s="507"/>
      <c r="R395" s="507"/>
      <c r="S395" s="507"/>
      <c r="T395" s="507"/>
      <c r="U395" s="507"/>
      <c r="V395" s="507"/>
      <c r="W395" s="507"/>
      <c r="X395" s="507"/>
    </row>
    <row r="396" spans="15:24" s="508" customFormat="1" ht="25" customHeight="1">
      <c r="O396" s="529"/>
      <c r="P396" s="530"/>
      <c r="Q396" s="530"/>
      <c r="R396" s="530"/>
      <c r="S396" s="507"/>
      <c r="T396" s="507"/>
      <c r="U396" s="507"/>
      <c r="V396" s="507"/>
      <c r="W396" s="507"/>
      <c r="X396" s="507"/>
    </row>
    <row r="397" spans="15:24" s="508" customFormat="1" ht="25" customHeight="1">
      <c r="O397" s="529"/>
      <c r="P397" s="530"/>
      <c r="Q397" s="530"/>
      <c r="R397" s="530"/>
      <c r="S397" s="507"/>
      <c r="T397" s="507"/>
      <c r="U397" s="507"/>
      <c r="V397" s="507"/>
      <c r="W397" s="507"/>
      <c r="X397" s="507"/>
    </row>
    <row r="398" spans="15:24" s="508" customFormat="1" ht="25" customHeight="1">
      <c r="O398" s="529"/>
      <c r="P398" s="530"/>
      <c r="Q398" s="530"/>
      <c r="R398" s="530"/>
      <c r="S398" s="507"/>
      <c r="T398" s="507"/>
      <c r="U398" s="507"/>
      <c r="V398" s="507"/>
      <c r="W398" s="507"/>
      <c r="X398" s="507"/>
    </row>
    <row r="399" spans="15:24" s="508" customFormat="1" ht="25" customHeight="1">
      <c r="O399" s="529"/>
      <c r="P399" s="530"/>
      <c r="Q399" s="530"/>
      <c r="R399" s="530"/>
      <c r="S399" s="507"/>
      <c r="T399" s="507"/>
      <c r="U399" s="507"/>
      <c r="V399" s="507"/>
      <c r="W399" s="507"/>
      <c r="X399" s="507"/>
    </row>
    <row r="400" spans="15:24" s="508" customFormat="1" ht="25" customHeight="1">
      <c r="O400" s="529"/>
      <c r="P400" s="530"/>
      <c r="Q400" s="530"/>
      <c r="R400" s="530"/>
      <c r="S400" s="507"/>
      <c r="T400" s="507"/>
      <c r="U400" s="507"/>
      <c r="V400" s="507"/>
      <c r="W400" s="507"/>
      <c r="X400" s="507"/>
    </row>
    <row r="401" spans="15:24" s="508" customFormat="1" ht="25" customHeight="1">
      <c r="O401" s="529"/>
      <c r="P401" s="530"/>
      <c r="Q401" s="530"/>
      <c r="R401" s="530"/>
      <c r="S401" s="507"/>
      <c r="T401" s="507"/>
      <c r="U401" s="507"/>
      <c r="V401" s="507"/>
      <c r="W401" s="507"/>
      <c r="X401" s="507"/>
    </row>
    <row r="402" spans="15:24" s="508" customFormat="1" ht="25" customHeight="1">
      <c r="O402" s="529"/>
      <c r="P402" s="530"/>
      <c r="Q402" s="530"/>
      <c r="R402" s="530"/>
      <c r="S402" s="507"/>
      <c r="T402" s="507"/>
      <c r="U402" s="507"/>
      <c r="V402" s="507"/>
      <c r="W402" s="507"/>
      <c r="X402" s="507"/>
    </row>
    <row r="403" spans="15:24" s="508" customFormat="1" ht="25" customHeight="1">
      <c r="O403" s="529"/>
      <c r="P403" s="530"/>
      <c r="Q403" s="530"/>
      <c r="R403" s="530"/>
      <c r="S403" s="507"/>
      <c r="T403" s="507"/>
      <c r="U403" s="507"/>
      <c r="V403" s="507"/>
      <c r="W403" s="507"/>
      <c r="X403" s="507"/>
    </row>
    <row r="404" spans="15:24" s="508" customFormat="1" ht="25" customHeight="1">
      <c r="O404" s="529"/>
      <c r="P404" s="530"/>
      <c r="Q404" s="530"/>
      <c r="R404" s="530"/>
      <c r="S404" s="507"/>
      <c r="T404" s="507"/>
      <c r="U404" s="507"/>
      <c r="V404" s="507"/>
      <c r="W404" s="507"/>
      <c r="X404" s="507"/>
    </row>
    <row r="405" spans="15:24" s="508" customFormat="1" ht="25" customHeight="1">
      <c r="O405" s="529"/>
      <c r="P405" s="530"/>
      <c r="Q405" s="530"/>
      <c r="R405" s="530"/>
      <c r="S405" s="507"/>
      <c r="T405" s="507"/>
      <c r="U405" s="507"/>
      <c r="V405" s="507"/>
      <c r="W405" s="507"/>
      <c r="X405" s="507"/>
    </row>
    <row r="406" spans="15:24" s="508" customFormat="1" ht="25" customHeight="1">
      <c r="O406" s="529"/>
      <c r="P406" s="530"/>
      <c r="Q406" s="530"/>
      <c r="R406" s="530"/>
      <c r="S406" s="530"/>
      <c r="T406" s="530"/>
      <c r="U406" s="530"/>
      <c r="V406" s="530"/>
      <c r="W406" s="507"/>
      <c r="X406" s="507"/>
    </row>
    <row r="407" spans="15:24" s="508" customFormat="1" ht="25" customHeight="1">
      <c r="O407" s="529"/>
      <c r="P407" s="530"/>
      <c r="Q407" s="530"/>
      <c r="R407" s="530"/>
      <c r="S407" s="530"/>
      <c r="T407" s="530"/>
      <c r="U407" s="530"/>
      <c r="V407" s="530"/>
      <c r="W407" s="507"/>
      <c r="X407" s="507"/>
    </row>
    <row r="408" spans="15:24" s="508" customFormat="1" ht="25" customHeight="1">
      <c r="O408" s="529"/>
      <c r="P408" s="530"/>
      <c r="Q408" s="530"/>
      <c r="R408" s="530"/>
      <c r="S408" s="530"/>
      <c r="T408" s="530"/>
      <c r="U408" s="530"/>
      <c r="V408" s="530"/>
      <c r="W408" s="507"/>
      <c r="X408" s="507"/>
    </row>
    <row r="409" spans="15:24" s="508" customFormat="1" ht="25" customHeight="1">
      <c r="O409" s="529"/>
      <c r="P409" s="530"/>
      <c r="Q409" s="530"/>
      <c r="R409" s="530"/>
      <c r="S409" s="530"/>
      <c r="T409" s="530"/>
      <c r="U409" s="530"/>
      <c r="V409" s="530"/>
      <c r="W409" s="507"/>
      <c r="X409" s="507"/>
    </row>
    <row r="410" spans="15:24" s="508" customFormat="1" ht="25" customHeight="1">
      <c r="O410" s="529"/>
      <c r="P410" s="530"/>
      <c r="Q410" s="530"/>
      <c r="R410" s="530"/>
      <c r="S410" s="530"/>
      <c r="T410" s="530"/>
      <c r="U410" s="530"/>
      <c r="V410" s="530"/>
      <c r="W410" s="507"/>
      <c r="X410" s="507"/>
    </row>
    <row r="411" spans="15:24" s="508" customFormat="1" ht="25" customHeight="1">
      <c r="O411" s="529"/>
      <c r="P411" s="530"/>
      <c r="Q411" s="530"/>
      <c r="R411" s="530"/>
      <c r="S411" s="530"/>
      <c r="T411" s="530"/>
      <c r="U411" s="530"/>
      <c r="V411" s="530"/>
      <c r="W411" s="507"/>
      <c r="X411" s="507"/>
    </row>
    <row r="412" spans="15:24" s="508" customFormat="1" ht="25" customHeight="1">
      <c r="P412" s="531"/>
      <c r="Q412" s="531"/>
      <c r="R412" s="531"/>
      <c r="S412" s="531"/>
      <c r="T412" s="531"/>
      <c r="U412" s="531"/>
      <c r="V412" s="531"/>
      <c r="W412" s="509"/>
      <c r="X412" s="509"/>
    </row>
    <row r="413" spans="15:24" s="508" customFormat="1" ht="25" customHeight="1">
      <c r="P413" s="531"/>
      <c r="Q413" s="531"/>
      <c r="R413" s="531"/>
      <c r="S413" s="531"/>
      <c r="T413" s="531"/>
      <c r="U413" s="531"/>
      <c r="V413" s="531"/>
      <c r="W413" s="509"/>
      <c r="X413" s="509"/>
    </row>
    <row r="414" spans="15:24" s="508" customFormat="1" ht="25" customHeight="1">
      <c r="P414" s="531"/>
      <c r="Q414" s="531"/>
      <c r="R414" s="531"/>
      <c r="S414" s="531"/>
      <c r="T414" s="531"/>
      <c r="U414" s="531"/>
      <c r="V414" s="531"/>
      <c r="W414" s="509"/>
      <c r="X414" s="509"/>
    </row>
    <row r="415" spans="15:24" s="508" customFormat="1" ht="25" customHeight="1">
      <c r="P415" s="531"/>
      <c r="Q415" s="531"/>
      <c r="R415" s="531"/>
      <c r="S415" s="531"/>
      <c r="T415" s="531"/>
      <c r="U415" s="531"/>
      <c r="V415" s="531"/>
      <c r="W415" s="509"/>
      <c r="X415" s="509"/>
    </row>
    <row r="416" spans="15:24" s="508" customFormat="1" ht="25" customHeight="1">
      <c r="P416" s="531"/>
      <c r="Q416" s="531"/>
      <c r="R416" s="531"/>
      <c r="S416" s="531"/>
      <c r="T416" s="531"/>
      <c r="U416" s="531"/>
      <c r="V416" s="531"/>
      <c r="W416" s="509"/>
      <c r="X416" s="509"/>
    </row>
    <row r="417" spans="16:24" s="508" customFormat="1" ht="25" customHeight="1">
      <c r="P417" s="531"/>
      <c r="Q417" s="531"/>
      <c r="R417" s="531"/>
      <c r="S417" s="531"/>
      <c r="T417" s="531"/>
      <c r="U417" s="531"/>
      <c r="V417" s="531"/>
      <c r="W417" s="509"/>
      <c r="X417" s="509"/>
    </row>
    <row r="418" spans="16:24" s="508" customFormat="1" ht="25" customHeight="1">
      <c r="P418" s="531"/>
      <c r="Q418" s="531"/>
      <c r="R418" s="531"/>
      <c r="S418" s="531"/>
      <c r="T418" s="531"/>
      <c r="U418" s="531"/>
      <c r="V418" s="531"/>
      <c r="W418" s="509"/>
      <c r="X418" s="509"/>
    </row>
    <row r="419" spans="16:24" s="508" customFormat="1" ht="25" customHeight="1">
      <c r="P419" s="531"/>
      <c r="Q419" s="531"/>
      <c r="R419" s="531"/>
      <c r="S419" s="531"/>
      <c r="T419" s="531"/>
      <c r="U419" s="531"/>
      <c r="V419" s="531"/>
      <c r="W419" s="509"/>
      <c r="X419" s="509"/>
    </row>
    <row r="420" spans="16:24" s="508" customFormat="1" ht="25" customHeight="1">
      <c r="P420" s="531"/>
      <c r="Q420" s="531"/>
      <c r="R420" s="531"/>
      <c r="S420" s="531"/>
      <c r="T420" s="531"/>
      <c r="U420" s="531"/>
      <c r="V420" s="531"/>
      <c r="W420" s="509"/>
      <c r="X420" s="509"/>
    </row>
    <row r="421" spans="16:24" s="508" customFormat="1" ht="25" customHeight="1">
      <c r="P421" s="531"/>
      <c r="Q421" s="531"/>
      <c r="R421" s="531"/>
      <c r="S421" s="531"/>
      <c r="T421" s="531"/>
      <c r="U421" s="531"/>
      <c r="V421" s="531"/>
      <c r="W421" s="509"/>
      <c r="X421" s="509"/>
    </row>
    <row r="422" spans="16:24" s="508" customFormat="1" ht="25" customHeight="1">
      <c r="P422" s="531"/>
      <c r="Q422" s="531"/>
      <c r="R422" s="531"/>
      <c r="S422" s="531"/>
      <c r="T422" s="531"/>
      <c r="U422" s="531"/>
      <c r="V422" s="531"/>
      <c r="W422" s="509"/>
      <c r="X422" s="509"/>
    </row>
    <row r="423" spans="16:24" s="508" customFormat="1" ht="25" customHeight="1">
      <c r="P423" s="531"/>
      <c r="Q423" s="531"/>
      <c r="R423" s="531"/>
      <c r="S423" s="531"/>
      <c r="T423" s="531"/>
      <c r="U423" s="531"/>
      <c r="V423" s="531"/>
      <c r="W423" s="509"/>
      <c r="X423" s="509"/>
    </row>
    <row r="424" spans="16:24" s="508" customFormat="1" ht="25" customHeight="1">
      <c r="P424" s="531"/>
      <c r="Q424" s="531"/>
      <c r="R424" s="531"/>
      <c r="S424" s="531"/>
      <c r="T424" s="531"/>
      <c r="U424" s="531"/>
      <c r="V424" s="531"/>
      <c r="W424" s="509"/>
      <c r="X424" s="509"/>
    </row>
    <row r="425" spans="16:24" s="508" customFormat="1" ht="25" customHeight="1">
      <c r="P425" s="531"/>
      <c r="Q425" s="531"/>
      <c r="R425" s="531"/>
      <c r="S425" s="531"/>
      <c r="T425" s="531"/>
      <c r="U425" s="531"/>
      <c r="V425" s="531"/>
      <c r="W425" s="509"/>
      <c r="X425" s="509"/>
    </row>
    <row r="426" spans="16:24" s="508" customFormat="1" ht="25" customHeight="1">
      <c r="P426" s="531"/>
      <c r="Q426" s="531"/>
      <c r="R426" s="531"/>
      <c r="S426" s="531"/>
      <c r="T426" s="531"/>
      <c r="U426" s="531"/>
      <c r="V426" s="531"/>
      <c r="W426" s="509"/>
      <c r="X426" s="509"/>
    </row>
    <row r="427" spans="16:24" s="508" customFormat="1" ht="25" customHeight="1">
      <c r="P427" s="531"/>
      <c r="Q427" s="531"/>
      <c r="R427" s="531"/>
      <c r="S427" s="531"/>
      <c r="T427" s="531"/>
      <c r="U427" s="531"/>
      <c r="V427" s="531"/>
      <c r="W427" s="509"/>
      <c r="X427" s="509"/>
    </row>
    <row r="428" spans="16:24" s="508" customFormat="1" ht="25" customHeight="1">
      <c r="P428" s="531"/>
      <c r="Q428" s="531"/>
      <c r="R428" s="531"/>
      <c r="S428" s="531"/>
      <c r="T428" s="531"/>
      <c r="U428" s="531"/>
      <c r="V428" s="531"/>
      <c r="W428" s="509"/>
      <c r="X428" s="509"/>
    </row>
    <row r="429" spans="16:24" s="508" customFormat="1" ht="25" customHeight="1">
      <c r="P429" s="531"/>
      <c r="Q429" s="531"/>
      <c r="R429" s="531"/>
      <c r="S429" s="531"/>
      <c r="T429" s="531"/>
      <c r="U429" s="531"/>
      <c r="V429" s="531"/>
      <c r="W429" s="509"/>
      <c r="X429" s="509"/>
    </row>
    <row r="430" spans="16:24" s="508" customFormat="1" ht="25" customHeight="1">
      <c r="P430" s="531"/>
      <c r="Q430" s="531"/>
      <c r="R430" s="531"/>
      <c r="S430" s="531"/>
      <c r="T430" s="531"/>
      <c r="U430" s="531"/>
      <c r="V430" s="531"/>
      <c r="W430" s="509"/>
      <c r="X430" s="509"/>
    </row>
    <row r="431" spans="16:24" s="508" customFormat="1" ht="25" customHeight="1">
      <c r="P431" s="531"/>
      <c r="Q431" s="531"/>
      <c r="R431" s="531"/>
      <c r="S431" s="531"/>
      <c r="T431" s="531"/>
      <c r="U431" s="531"/>
      <c r="V431" s="531"/>
      <c r="W431" s="509"/>
      <c r="X431" s="509"/>
    </row>
    <row r="432" spans="16:24" s="508" customFormat="1" ht="25" customHeight="1">
      <c r="P432" s="531"/>
      <c r="Q432" s="531"/>
      <c r="R432" s="531"/>
      <c r="S432" s="531"/>
      <c r="T432" s="531"/>
      <c r="U432" s="531"/>
      <c r="V432" s="531"/>
      <c r="W432" s="509"/>
      <c r="X432" s="509"/>
    </row>
    <row r="433" spans="16:24" s="508" customFormat="1" ht="25" customHeight="1">
      <c r="P433" s="531"/>
      <c r="Q433" s="531"/>
      <c r="R433" s="531"/>
      <c r="S433" s="531"/>
      <c r="T433" s="531"/>
      <c r="U433" s="531"/>
      <c r="V433" s="531"/>
      <c r="W433" s="509"/>
      <c r="X433" s="509"/>
    </row>
    <row r="434" spans="16:24" s="508" customFormat="1" ht="25" customHeight="1">
      <c r="P434" s="531"/>
      <c r="Q434" s="531"/>
      <c r="R434" s="531"/>
      <c r="S434" s="531"/>
      <c r="T434" s="531"/>
      <c r="U434" s="531"/>
      <c r="V434" s="531"/>
      <c r="W434" s="509"/>
      <c r="X434" s="509"/>
    </row>
    <row r="435" spans="16:24" s="508" customFormat="1" ht="25" customHeight="1">
      <c r="P435" s="531"/>
      <c r="Q435" s="531"/>
      <c r="R435" s="531"/>
      <c r="S435" s="531"/>
      <c r="T435" s="531"/>
      <c r="U435" s="531"/>
      <c r="V435" s="531"/>
      <c r="W435" s="509"/>
      <c r="X435" s="509"/>
    </row>
    <row r="436" spans="16:24" s="508" customFormat="1" ht="25" customHeight="1">
      <c r="P436" s="531"/>
      <c r="Q436" s="531"/>
      <c r="R436" s="531"/>
      <c r="S436" s="531"/>
      <c r="T436" s="531"/>
      <c r="U436" s="531"/>
      <c r="V436" s="531"/>
      <c r="W436" s="509"/>
      <c r="X436" s="509"/>
    </row>
    <row r="437" spans="16:24" s="508" customFormat="1" ht="25" customHeight="1">
      <c r="P437" s="531"/>
      <c r="Q437" s="531"/>
      <c r="R437" s="531"/>
      <c r="S437" s="531"/>
      <c r="T437" s="531"/>
      <c r="U437" s="531"/>
      <c r="V437" s="531"/>
      <c r="W437" s="509"/>
      <c r="X437" s="509"/>
    </row>
    <row r="438" spans="16:24" s="508" customFormat="1" ht="25" customHeight="1">
      <c r="P438" s="531"/>
      <c r="Q438" s="531"/>
      <c r="R438" s="531"/>
      <c r="S438" s="531"/>
      <c r="T438" s="531"/>
      <c r="U438" s="531"/>
      <c r="V438" s="531"/>
      <c r="W438" s="509"/>
      <c r="X438" s="509"/>
    </row>
    <row r="439" spans="16:24" s="508" customFormat="1" ht="25" customHeight="1">
      <c r="P439" s="531"/>
      <c r="Q439" s="531"/>
      <c r="R439" s="531"/>
      <c r="S439" s="531"/>
      <c r="T439" s="531"/>
      <c r="U439" s="531"/>
      <c r="V439" s="531"/>
      <c r="W439" s="509"/>
      <c r="X439" s="509"/>
    </row>
    <row r="440" spans="16:24" s="508" customFormat="1" ht="25" customHeight="1">
      <c r="P440" s="531"/>
      <c r="Q440" s="531"/>
      <c r="R440" s="531"/>
      <c r="S440" s="531"/>
      <c r="T440" s="531"/>
      <c r="U440" s="531"/>
      <c r="V440" s="531"/>
      <c r="W440" s="509"/>
      <c r="X440" s="509"/>
    </row>
    <row r="441" spans="16:24" s="508" customFormat="1" ht="25" customHeight="1">
      <c r="P441" s="531"/>
      <c r="Q441" s="531"/>
      <c r="R441" s="531"/>
      <c r="S441" s="531"/>
      <c r="T441" s="531"/>
      <c r="U441" s="531"/>
      <c r="V441" s="531"/>
      <c r="W441" s="509"/>
      <c r="X441" s="509"/>
    </row>
    <row r="442" spans="16:24" s="508" customFormat="1" ht="25" customHeight="1">
      <c r="P442" s="531"/>
      <c r="Q442" s="531"/>
      <c r="R442" s="531"/>
      <c r="S442" s="531"/>
      <c r="T442" s="531"/>
      <c r="U442" s="531"/>
      <c r="V442" s="531"/>
      <c r="W442" s="509"/>
      <c r="X442" s="509"/>
    </row>
    <row r="443" spans="16:24" s="508" customFormat="1" ht="25" customHeight="1">
      <c r="P443" s="531"/>
      <c r="Q443" s="531"/>
      <c r="R443" s="531"/>
      <c r="S443" s="531"/>
      <c r="T443" s="531"/>
      <c r="U443" s="531"/>
      <c r="V443" s="531"/>
      <c r="W443" s="509"/>
      <c r="X443" s="509"/>
    </row>
    <row r="444" spans="16:24" s="508" customFormat="1" ht="25" customHeight="1">
      <c r="P444" s="531"/>
      <c r="Q444" s="531"/>
      <c r="R444" s="531"/>
      <c r="S444" s="531"/>
      <c r="T444" s="531"/>
      <c r="U444" s="531"/>
      <c r="V444" s="531"/>
      <c r="W444" s="509"/>
      <c r="X444" s="509"/>
    </row>
    <row r="445" spans="16:24" s="508" customFormat="1" ht="25" customHeight="1">
      <c r="P445" s="531"/>
      <c r="Q445" s="531"/>
      <c r="R445" s="531"/>
      <c r="S445" s="531"/>
      <c r="T445" s="531"/>
      <c r="U445" s="531"/>
      <c r="V445" s="531"/>
      <c r="W445" s="509"/>
      <c r="X445" s="509"/>
    </row>
    <row r="446" spans="16:24" s="508" customFormat="1" ht="25" customHeight="1">
      <c r="P446" s="531"/>
      <c r="Q446" s="531"/>
      <c r="R446" s="531"/>
      <c r="S446" s="531"/>
      <c r="T446" s="531"/>
      <c r="U446" s="531"/>
      <c r="V446" s="531"/>
      <c r="W446" s="509"/>
      <c r="X446" s="509"/>
    </row>
    <row r="447" spans="16:24" s="508" customFormat="1" ht="25" customHeight="1">
      <c r="P447" s="531"/>
      <c r="Q447" s="531"/>
      <c r="R447" s="531"/>
      <c r="S447" s="531"/>
      <c r="T447" s="531"/>
      <c r="U447" s="531"/>
      <c r="V447" s="531"/>
      <c r="W447" s="509"/>
      <c r="X447" s="509"/>
    </row>
    <row r="448" spans="16:24" s="508" customFormat="1" ht="25" customHeight="1">
      <c r="P448" s="531"/>
      <c r="Q448" s="531"/>
      <c r="R448" s="531"/>
      <c r="S448" s="531"/>
      <c r="T448" s="531"/>
      <c r="U448" s="531"/>
      <c r="V448" s="531"/>
      <c r="W448" s="509"/>
      <c r="X448" s="509"/>
    </row>
    <row r="449" spans="16:24" s="508" customFormat="1" ht="25" customHeight="1">
      <c r="P449" s="531"/>
      <c r="Q449" s="531"/>
      <c r="R449" s="531"/>
      <c r="S449" s="531"/>
      <c r="T449" s="531"/>
      <c r="U449" s="531"/>
      <c r="V449" s="531"/>
      <c r="W449" s="509"/>
      <c r="X449" s="509"/>
    </row>
    <row r="450" spans="16:24" s="508" customFormat="1" ht="25" customHeight="1">
      <c r="P450" s="531"/>
      <c r="Q450" s="531"/>
      <c r="R450" s="531"/>
      <c r="S450" s="531"/>
      <c r="T450" s="531"/>
      <c r="U450" s="531"/>
      <c r="V450" s="531"/>
      <c r="W450" s="509"/>
      <c r="X450" s="509"/>
    </row>
    <row r="451" spans="16:24" s="508" customFormat="1" ht="25" customHeight="1">
      <c r="P451" s="531"/>
      <c r="Q451" s="531"/>
      <c r="R451" s="531"/>
      <c r="S451" s="531"/>
      <c r="T451" s="531"/>
      <c r="U451" s="531"/>
      <c r="V451" s="531"/>
      <c r="W451" s="509"/>
      <c r="X451" s="509"/>
    </row>
    <row r="452" spans="16:24" s="508" customFormat="1" ht="25" customHeight="1">
      <c r="P452" s="531"/>
      <c r="Q452" s="531"/>
      <c r="R452" s="531"/>
      <c r="S452" s="531"/>
      <c r="T452" s="531"/>
      <c r="U452" s="531"/>
      <c r="V452" s="531"/>
      <c r="W452" s="509"/>
      <c r="X452" s="509"/>
    </row>
    <row r="453" spans="16:24" s="508" customFormat="1" ht="25" customHeight="1">
      <c r="P453" s="531"/>
      <c r="Q453" s="531"/>
      <c r="R453" s="531"/>
      <c r="S453" s="531"/>
      <c r="T453" s="531"/>
      <c r="U453" s="531"/>
      <c r="V453" s="531"/>
      <c r="W453" s="509"/>
      <c r="X453" s="509"/>
    </row>
    <row r="454" spans="16:24" s="508" customFormat="1" ht="25" customHeight="1">
      <c r="P454" s="531"/>
      <c r="Q454" s="531"/>
      <c r="R454" s="531"/>
      <c r="S454" s="531"/>
      <c r="T454" s="531"/>
      <c r="U454" s="531"/>
      <c r="V454" s="531"/>
      <c r="W454" s="509"/>
      <c r="X454" s="509"/>
    </row>
    <row r="455" spans="16:24" s="508" customFormat="1" ht="25" customHeight="1">
      <c r="P455" s="531"/>
      <c r="Q455" s="531"/>
      <c r="R455" s="531"/>
      <c r="S455" s="531"/>
      <c r="T455" s="531"/>
      <c r="U455" s="531"/>
      <c r="V455" s="531"/>
      <c r="W455" s="509"/>
      <c r="X455" s="509"/>
    </row>
    <row r="456" spans="16:24" s="508" customFormat="1" ht="16.5">
      <c r="P456" s="531"/>
      <c r="Q456" s="531"/>
      <c r="R456" s="531"/>
      <c r="S456" s="531"/>
      <c r="T456" s="531"/>
      <c r="U456" s="531"/>
      <c r="V456" s="531"/>
      <c r="W456" s="509"/>
      <c r="X456" s="509"/>
    </row>
    <row r="457" spans="16:24" s="508" customFormat="1" ht="16.5">
      <c r="P457" s="531"/>
      <c r="Q457" s="531"/>
      <c r="R457" s="531"/>
      <c r="S457" s="531"/>
      <c r="T457" s="531"/>
      <c r="U457" s="531"/>
      <c r="V457" s="531"/>
      <c r="W457" s="509"/>
      <c r="X457" s="509"/>
    </row>
    <row r="458" spans="16:24" s="508" customFormat="1" ht="16.5">
      <c r="P458" s="531"/>
      <c r="Q458" s="531"/>
      <c r="R458" s="531"/>
      <c r="S458" s="531"/>
      <c r="T458" s="531"/>
      <c r="U458" s="531"/>
      <c r="V458" s="531"/>
      <c r="W458" s="509"/>
      <c r="X458" s="509"/>
    </row>
    <row r="459" spans="16:24" s="508" customFormat="1" ht="16.5">
      <c r="P459" s="531"/>
      <c r="Q459" s="531"/>
      <c r="R459" s="531"/>
      <c r="S459" s="531"/>
      <c r="T459" s="531"/>
      <c r="U459" s="531"/>
      <c r="V459" s="531"/>
      <c r="W459" s="509"/>
      <c r="X459" s="509"/>
    </row>
    <row r="460" spans="16:24" s="508" customFormat="1" ht="16.5">
      <c r="P460" s="531"/>
      <c r="Q460" s="531"/>
      <c r="R460" s="531"/>
      <c r="S460" s="531"/>
      <c r="T460" s="531"/>
      <c r="U460" s="531"/>
      <c r="V460" s="531"/>
      <c r="W460" s="509"/>
      <c r="X460" s="509"/>
    </row>
    <row r="461" spans="16:24" s="508" customFormat="1" ht="16.5">
      <c r="P461" s="531"/>
      <c r="Q461" s="531"/>
      <c r="R461" s="531"/>
      <c r="S461" s="531"/>
      <c r="T461" s="531"/>
      <c r="U461" s="531"/>
      <c r="V461" s="531"/>
      <c r="W461" s="509"/>
      <c r="X461" s="509"/>
    </row>
    <row r="462" spans="16:24" s="508" customFormat="1" ht="16.5">
      <c r="P462" s="531"/>
      <c r="Q462" s="531"/>
      <c r="R462" s="531"/>
      <c r="S462" s="531"/>
      <c r="T462" s="531"/>
      <c r="U462" s="531"/>
      <c r="V462" s="531"/>
      <c r="W462" s="509"/>
      <c r="X462" s="509"/>
    </row>
    <row r="463" spans="16:24" s="508" customFormat="1" ht="16.5">
      <c r="P463" s="531"/>
      <c r="Q463" s="531"/>
      <c r="R463" s="531"/>
      <c r="S463" s="531"/>
      <c r="T463" s="531"/>
      <c r="U463" s="531"/>
      <c r="V463" s="531"/>
      <c r="W463" s="509"/>
      <c r="X463" s="509"/>
    </row>
    <row r="464" spans="16:24" s="508" customFormat="1" ht="16.5">
      <c r="P464" s="531"/>
      <c r="Q464" s="531"/>
      <c r="R464" s="531"/>
      <c r="S464" s="531"/>
      <c r="T464" s="531"/>
      <c r="U464" s="531"/>
      <c r="V464" s="531"/>
      <c r="W464" s="509"/>
      <c r="X464" s="509"/>
    </row>
    <row r="465" spans="16:24" s="508" customFormat="1" ht="16.5">
      <c r="P465" s="531"/>
      <c r="Q465" s="531"/>
      <c r="R465" s="531"/>
      <c r="S465" s="531"/>
      <c r="T465" s="531"/>
      <c r="U465" s="531"/>
      <c r="V465" s="531"/>
      <c r="W465" s="509"/>
      <c r="X465" s="509"/>
    </row>
    <row r="466" spans="16:24" s="508" customFormat="1" ht="16.5">
      <c r="P466" s="531"/>
      <c r="Q466" s="531"/>
      <c r="R466" s="531"/>
      <c r="S466" s="531"/>
      <c r="T466" s="531"/>
      <c r="U466" s="531"/>
      <c r="V466" s="531"/>
      <c r="W466" s="509"/>
      <c r="X466" s="509"/>
    </row>
    <row r="467" spans="16:24" s="508" customFormat="1" ht="16.5">
      <c r="P467" s="531"/>
      <c r="Q467" s="531"/>
      <c r="R467" s="531"/>
      <c r="S467" s="531"/>
      <c r="T467" s="531"/>
      <c r="U467" s="531"/>
      <c r="V467" s="531"/>
      <c r="W467" s="509"/>
      <c r="X467" s="509"/>
    </row>
    <row r="468" spans="16:24" s="508" customFormat="1" ht="16.5">
      <c r="P468" s="531"/>
      <c r="Q468" s="531"/>
      <c r="R468" s="531"/>
      <c r="S468" s="531"/>
      <c r="T468" s="531"/>
      <c r="U468" s="531"/>
      <c r="V468" s="531"/>
      <c r="W468" s="509"/>
      <c r="X468" s="509"/>
    </row>
    <row r="469" spans="16:24" s="508" customFormat="1" ht="16.5">
      <c r="P469" s="531"/>
      <c r="Q469" s="531"/>
      <c r="R469" s="531"/>
      <c r="S469" s="531"/>
      <c r="T469" s="531"/>
      <c r="U469" s="531"/>
      <c r="V469" s="531"/>
      <c r="W469" s="509"/>
      <c r="X469" s="509"/>
    </row>
    <row r="470" spans="16:24" s="508" customFormat="1" ht="16.5">
      <c r="P470" s="531"/>
      <c r="Q470" s="531"/>
      <c r="R470" s="531"/>
      <c r="S470" s="531"/>
      <c r="T470" s="531"/>
      <c r="U470" s="531"/>
      <c r="V470" s="531"/>
      <c r="W470" s="509"/>
      <c r="X470" s="509"/>
    </row>
    <row r="471" spans="16:24" s="508" customFormat="1" ht="16.5">
      <c r="P471" s="531"/>
      <c r="Q471" s="531"/>
      <c r="R471" s="531"/>
      <c r="S471" s="531"/>
      <c r="T471" s="531"/>
      <c r="U471" s="531"/>
      <c r="V471" s="531"/>
      <c r="W471" s="509"/>
      <c r="X471" s="509"/>
    </row>
    <row r="472" spans="16:24" s="508" customFormat="1" ht="16.5">
      <c r="P472" s="531"/>
      <c r="Q472" s="531"/>
      <c r="R472" s="531"/>
      <c r="S472" s="531"/>
      <c r="T472" s="531"/>
      <c r="U472" s="531"/>
      <c r="V472" s="531"/>
      <c r="W472" s="509"/>
      <c r="X472" s="509"/>
    </row>
    <row r="473" spans="16:24" s="508" customFormat="1" ht="16.5">
      <c r="P473" s="531"/>
      <c r="Q473" s="531"/>
      <c r="R473" s="531"/>
      <c r="S473" s="531"/>
      <c r="T473" s="531"/>
      <c r="U473" s="531"/>
      <c r="V473" s="531"/>
      <c r="W473" s="509"/>
      <c r="X473" s="509"/>
    </row>
    <row r="474" spans="16:24" s="508" customFormat="1" ht="16.5">
      <c r="P474" s="531"/>
      <c r="Q474" s="531"/>
      <c r="R474" s="531"/>
      <c r="S474" s="531"/>
      <c r="T474" s="531"/>
      <c r="U474" s="531"/>
      <c r="V474" s="531"/>
      <c r="W474" s="509"/>
      <c r="X474" s="531"/>
    </row>
    <row r="475" spans="16:24" s="508" customFormat="1" ht="16.5">
      <c r="P475" s="531"/>
      <c r="Q475" s="531"/>
      <c r="R475" s="531"/>
      <c r="S475" s="531"/>
      <c r="T475" s="531"/>
      <c r="U475" s="531"/>
      <c r="V475" s="531"/>
      <c r="W475" s="509"/>
      <c r="X475" s="531"/>
    </row>
    <row r="476" spans="16:24" s="508" customFormat="1" ht="16.5">
      <c r="P476" s="531"/>
      <c r="Q476" s="531"/>
      <c r="R476" s="531"/>
      <c r="S476" s="531"/>
      <c r="T476" s="531"/>
      <c r="U476" s="531"/>
      <c r="V476" s="531"/>
      <c r="W476" s="509"/>
      <c r="X476" s="531"/>
    </row>
    <row r="477" spans="16:24" s="508" customFormat="1" ht="16.5">
      <c r="P477" s="531"/>
      <c r="Q477" s="531"/>
      <c r="R477" s="531"/>
      <c r="S477" s="531"/>
      <c r="T477" s="531"/>
      <c r="U477" s="531"/>
      <c r="V477" s="531"/>
      <c r="W477" s="509"/>
      <c r="X477" s="531"/>
    </row>
    <row r="478" spans="16:24" s="508" customFormat="1" ht="16.5">
      <c r="P478" s="531"/>
      <c r="Q478" s="531"/>
      <c r="R478" s="531"/>
      <c r="S478" s="531"/>
      <c r="T478" s="531"/>
      <c r="U478" s="531"/>
      <c r="V478" s="531"/>
      <c r="W478" s="509"/>
      <c r="X478" s="531"/>
    </row>
    <row r="479" spans="16:24" s="508" customFormat="1" ht="16.5">
      <c r="P479" s="531"/>
      <c r="Q479" s="531"/>
      <c r="R479" s="531"/>
      <c r="S479" s="531"/>
      <c r="T479" s="531"/>
      <c r="U479" s="531"/>
      <c r="V479" s="531"/>
      <c r="W479" s="509"/>
      <c r="X479" s="531"/>
    </row>
    <row r="480" spans="16:24" s="508" customFormat="1" ht="16.5">
      <c r="P480" s="531"/>
      <c r="Q480" s="531"/>
      <c r="R480" s="531"/>
      <c r="S480" s="531"/>
      <c r="T480" s="531"/>
      <c r="U480" s="531"/>
      <c r="V480" s="531"/>
      <c r="W480" s="509"/>
      <c r="X480" s="531"/>
    </row>
    <row r="481" spans="16:24" s="508" customFormat="1" ht="16.5">
      <c r="P481" s="531"/>
      <c r="Q481" s="531"/>
      <c r="R481" s="531"/>
      <c r="S481" s="531"/>
      <c r="T481" s="531"/>
      <c r="U481" s="531"/>
      <c r="V481" s="531"/>
      <c r="W481" s="509"/>
      <c r="X481" s="531"/>
    </row>
    <row r="482" spans="16:24" s="508" customFormat="1" ht="16.5">
      <c r="P482" s="531"/>
      <c r="Q482" s="531"/>
      <c r="R482" s="531"/>
      <c r="S482" s="531"/>
      <c r="T482" s="531"/>
      <c r="U482" s="531"/>
      <c r="V482" s="531"/>
      <c r="W482" s="509"/>
      <c r="X482" s="531"/>
    </row>
    <row r="483" spans="16:24" s="508" customFormat="1" ht="16.5">
      <c r="P483" s="531"/>
      <c r="Q483" s="531"/>
      <c r="R483" s="531"/>
      <c r="S483" s="531"/>
      <c r="T483" s="531"/>
      <c r="U483" s="531"/>
      <c r="V483" s="531"/>
      <c r="W483" s="509"/>
      <c r="X483" s="531"/>
    </row>
    <row r="484" spans="16:24" s="508" customFormat="1" ht="16.5">
      <c r="P484" s="531"/>
      <c r="Q484" s="531"/>
      <c r="R484" s="531"/>
      <c r="S484" s="531"/>
      <c r="T484" s="531"/>
      <c r="U484" s="531"/>
      <c r="V484" s="531"/>
      <c r="W484" s="509"/>
      <c r="X484" s="531"/>
    </row>
    <row r="485" spans="16:24" s="508" customFormat="1" ht="16.5">
      <c r="P485" s="531"/>
      <c r="Q485" s="531"/>
      <c r="R485" s="531"/>
      <c r="S485" s="531"/>
      <c r="T485" s="531"/>
      <c r="U485" s="531"/>
      <c r="V485" s="531"/>
      <c r="W485" s="509"/>
      <c r="X485" s="531"/>
    </row>
    <row r="486" spans="16:24" s="508" customFormat="1" ht="16.5">
      <c r="P486" s="531"/>
      <c r="Q486" s="531"/>
      <c r="R486" s="531"/>
      <c r="S486" s="531"/>
      <c r="T486" s="531"/>
      <c r="U486" s="531"/>
      <c r="V486" s="531"/>
      <c r="W486" s="509"/>
      <c r="X486" s="531"/>
    </row>
    <row r="487" spans="16:24" s="508" customFormat="1" ht="16.5">
      <c r="P487" s="531"/>
      <c r="Q487" s="531"/>
      <c r="R487" s="531"/>
      <c r="S487" s="531"/>
      <c r="T487" s="531"/>
      <c r="U487" s="531"/>
      <c r="V487" s="531"/>
      <c r="W487" s="509"/>
      <c r="X487" s="531"/>
    </row>
    <row r="488" spans="16:24" s="508" customFormat="1" ht="16.5">
      <c r="P488" s="531"/>
      <c r="Q488" s="531"/>
      <c r="R488" s="531"/>
      <c r="S488" s="531"/>
      <c r="T488" s="531"/>
      <c r="U488" s="531"/>
      <c r="V488" s="531"/>
      <c r="W488" s="509"/>
      <c r="X488" s="531"/>
    </row>
    <row r="489" spans="16:24" s="508" customFormat="1" ht="16.5">
      <c r="P489" s="531"/>
      <c r="Q489" s="531"/>
      <c r="R489" s="531"/>
      <c r="S489" s="531"/>
      <c r="T489" s="531"/>
      <c r="U489" s="531"/>
      <c r="V489" s="531"/>
      <c r="W489" s="509"/>
      <c r="X489" s="531"/>
    </row>
    <row r="490" spans="16:24" s="508" customFormat="1" ht="16.5">
      <c r="P490" s="531"/>
      <c r="Q490" s="531"/>
      <c r="R490" s="531"/>
      <c r="S490" s="531"/>
      <c r="T490" s="531"/>
      <c r="U490" s="531"/>
      <c r="V490" s="531"/>
      <c r="W490" s="509"/>
      <c r="X490" s="531"/>
    </row>
    <row r="491" spans="16:24" s="508" customFormat="1" ht="16.5">
      <c r="P491" s="531"/>
      <c r="Q491" s="531"/>
      <c r="R491" s="531"/>
      <c r="S491" s="531"/>
      <c r="T491" s="531"/>
      <c r="U491" s="531"/>
      <c r="V491" s="531"/>
      <c r="W491" s="509"/>
      <c r="X491" s="531"/>
    </row>
    <row r="492" spans="16:24" s="508" customFormat="1" ht="16.5">
      <c r="P492" s="531"/>
      <c r="Q492" s="531"/>
      <c r="R492" s="531"/>
      <c r="S492" s="531"/>
      <c r="T492" s="531"/>
      <c r="U492" s="531"/>
      <c r="V492" s="531"/>
      <c r="W492" s="509"/>
      <c r="X492" s="531"/>
    </row>
    <row r="493" spans="16:24" s="508" customFormat="1" ht="16.5">
      <c r="P493" s="531"/>
      <c r="Q493" s="531"/>
      <c r="R493" s="531"/>
      <c r="S493" s="531"/>
      <c r="T493" s="531"/>
      <c r="U493" s="531"/>
      <c r="V493" s="531"/>
      <c r="W493" s="509"/>
      <c r="X493" s="531"/>
    </row>
    <row r="494" spans="16:24" s="508" customFormat="1" ht="16.5">
      <c r="P494" s="531"/>
      <c r="Q494" s="531"/>
      <c r="R494" s="531"/>
      <c r="S494" s="531"/>
      <c r="T494" s="531"/>
      <c r="U494" s="531"/>
      <c r="V494" s="531"/>
      <c r="W494" s="509"/>
      <c r="X494" s="531"/>
    </row>
    <row r="495" spans="16:24" s="508" customFormat="1" ht="16.5">
      <c r="P495" s="531"/>
      <c r="Q495" s="531"/>
      <c r="R495" s="531"/>
      <c r="S495" s="531"/>
      <c r="T495" s="531"/>
      <c r="U495" s="531"/>
      <c r="V495" s="531"/>
      <c r="W495" s="509"/>
      <c r="X495" s="531"/>
    </row>
    <row r="496" spans="16:24" s="508" customFormat="1" ht="16.5">
      <c r="P496" s="531"/>
      <c r="Q496" s="531"/>
      <c r="R496" s="531"/>
      <c r="S496" s="531"/>
      <c r="T496" s="531"/>
      <c r="U496" s="531"/>
      <c r="V496" s="531"/>
      <c r="W496" s="531"/>
      <c r="X496" s="531"/>
    </row>
    <row r="497" spans="16:24" s="508" customFormat="1" ht="16.5">
      <c r="P497" s="531"/>
      <c r="Q497" s="531"/>
      <c r="R497" s="531"/>
      <c r="S497" s="531"/>
      <c r="T497" s="531"/>
      <c r="U497" s="531"/>
      <c r="V497" s="531"/>
      <c r="W497" s="531"/>
      <c r="X497" s="531"/>
    </row>
    <row r="498" spans="16:24" s="508" customFormat="1" ht="16.5">
      <c r="P498" s="531"/>
      <c r="Q498" s="531"/>
      <c r="R498" s="531"/>
      <c r="S498" s="531"/>
      <c r="T498" s="531"/>
      <c r="U498" s="531"/>
      <c r="V498" s="531"/>
      <c r="W498" s="531"/>
      <c r="X498" s="531"/>
    </row>
    <row r="499" spans="16:24" s="508" customFormat="1" ht="16.5">
      <c r="P499" s="531"/>
      <c r="Q499" s="531"/>
      <c r="R499" s="531"/>
      <c r="S499" s="531"/>
      <c r="T499" s="531"/>
      <c r="U499" s="531"/>
      <c r="V499" s="531"/>
      <c r="W499" s="531"/>
      <c r="X499" s="531"/>
    </row>
    <row r="500" spans="16:24" s="508" customFormat="1" ht="16.5">
      <c r="P500" s="531"/>
      <c r="Q500" s="531"/>
      <c r="R500" s="531"/>
      <c r="S500" s="531"/>
      <c r="T500" s="531"/>
      <c r="U500" s="531"/>
      <c r="V500" s="531"/>
      <c r="W500" s="531"/>
      <c r="X500" s="531"/>
    </row>
    <row r="501" spans="16:24" s="508" customFormat="1" ht="16.5">
      <c r="P501" s="531"/>
      <c r="Q501" s="531"/>
      <c r="R501" s="531"/>
      <c r="S501" s="531"/>
      <c r="T501" s="531"/>
      <c r="U501" s="531"/>
      <c r="V501" s="531"/>
      <c r="W501" s="531"/>
      <c r="X501" s="531"/>
    </row>
    <row r="502" spans="16:24" s="508" customFormat="1" ht="16.5">
      <c r="P502" s="531"/>
      <c r="Q502" s="531"/>
      <c r="R502" s="531"/>
      <c r="S502" s="531"/>
      <c r="T502" s="531"/>
      <c r="U502" s="531"/>
      <c r="V502" s="531"/>
      <c r="W502" s="531"/>
      <c r="X502" s="531"/>
    </row>
    <row r="503" spans="16:24" s="508" customFormat="1" ht="16.5">
      <c r="P503" s="531"/>
      <c r="Q503" s="531"/>
      <c r="R503" s="531"/>
      <c r="S503" s="531"/>
      <c r="T503" s="531"/>
      <c r="U503" s="531"/>
      <c r="V503" s="531"/>
      <c r="W503" s="531"/>
      <c r="X503" s="531"/>
    </row>
    <row r="504" spans="16:24" s="508" customFormat="1" ht="16.5">
      <c r="P504" s="531"/>
      <c r="Q504" s="531"/>
      <c r="R504" s="531"/>
      <c r="S504" s="531"/>
      <c r="T504" s="531"/>
      <c r="U504" s="531"/>
      <c r="V504" s="531"/>
      <c r="W504" s="531"/>
      <c r="X504" s="531"/>
    </row>
    <row r="505" spans="16:24" s="508" customFormat="1" ht="16.5">
      <c r="P505" s="531"/>
      <c r="Q505" s="531"/>
      <c r="R505" s="531"/>
      <c r="S505" s="531"/>
      <c r="T505" s="531"/>
      <c r="U505" s="531"/>
      <c r="V505" s="531"/>
      <c r="W505" s="531"/>
      <c r="X505" s="531"/>
    </row>
    <row r="506" spans="16:24" s="508" customFormat="1" ht="16.5">
      <c r="P506" s="531"/>
      <c r="Q506" s="531"/>
      <c r="R506" s="531"/>
      <c r="S506" s="531"/>
      <c r="T506" s="531"/>
      <c r="U506" s="531"/>
      <c r="V506" s="531"/>
      <c r="W506" s="531"/>
      <c r="X506" s="531"/>
    </row>
    <row r="507" spans="16:24" s="508" customFormat="1" ht="16.5">
      <c r="P507" s="531"/>
      <c r="Q507" s="531"/>
      <c r="R507" s="531"/>
      <c r="S507" s="531"/>
      <c r="T507" s="531"/>
      <c r="U507" s="531"/>
      <c r="V507" s="531"/>
      <c r="W507" s="531"/>
      <c r="X507" s="531"/>
    </row>
    <row r="508" spans="16:24" s="508" customFormat="1" ht="16.5">
      <c r="P508" s="531"/>
      <c r="Q508" s="531"/>
      <c r="R508" s="531"/>
      <c r="S508" s="531"/>
      <c r="T508" s="531"/>
      <c r="U508" s="531"/>
      <c r="V508" s="531"/>
      <c r="W508" s="531"/>
      <c r="X508" s="531"/>
    </row>
    <row r="509" spans="16:24" s="508" customFormat="1" ht="16.5">
      <c r="P509" s="531"/>
      <c r="Q509" s="531"/>
      <c r="R509" s="531"/>
      <c r="S509" s="531"/>
      <c r="T509" s="531"/>
      <c r="U509" s="531"/>
      <c r="V509" s="531"/>
      <c r="W509" s="531"/>
      <c r="X509" s="531"/>
    </row>
    <row r="510" spans="16:24" s="508" customFormat="1" ht="16.5">
      <c r="P510" s="531"/>
      <c r="Q510" s="531"/>
      <c r="R510" s="531"/>
      <c r="S510" s="531"/>
      <c r="T510" s="531"/>
      <c r="U510" s="531"/>
      <c r="V510" s="531"/>
      <c r="W510" s="531"/>
      <c r="X510" s="531"/>
    </row>
    <row r="511" spans="16:24" s="508" customFormat="1" ht="16.5">
      <c r="P511" s="531"/>
      <c r="Q511" s="531"/>
      <c r="R511" s="531"/>
      <c r="S511" s="531"/>
      <c r="T511" s="531"/>
      <c r="U511" s="531"/>
      <c r="V511" s="531"/>
      <c r="W511" s="531"/>
      <c r="X511" s="531"/>
    </row>
    <row r="512" spans="16:24" s="508" customFormat="1" ht="16.5">
      <c r="P512" s="531"/>
      <c r="Q512" s="531"/>
      <c r="R512" s="531"/>
      <c r="S512" s="531"/>
      <c r="T512" s="531"/>
      <c r="U512" s="531"/>
      <c r="V512" s="531"/>
      <c r="W512" s="531"/>
      <c r="X512" s="531"/>
    </row>
    <row r="513" spans="16:24" s="508" customFormat="1" ht="16.5">
      <c r="P513" s="531"/>
      <c r="Q513" s="531"/>
      <c r="R513" s="531"/>
      <c r="S513" s="531"/>
      <c r="T513" s="531"/>
      <c r="U513" s="531"/>
      <c r="V513" s="531"/>
      <c r="W513" s="531"/>
      <c r="X513" s="531"/>
    </row>
    <row r="514" spans="16:24" s="508" customFormat="1" ht="16.5">
      <c r="P514" s="531"/>
      <c r="Q514" s="531"/>
      <c r="R514" s="531"/>
      <c r="S514" s="531"/>
      <c r="T514" s="531"/>
      <c r="U514" s="531"/>
      <c r="V514" s="531"/>
      <c r="W514" s="531"/>
      <c r="X514" s="531"/>
    </row>
    <row r="515" spans="16:24" s="508" customFormat="1" ht="16.5">
      <c r="P515" s="531"/>
      <c r="Q515" s="531"/>
      <c r="R515" s="531"/>
      <c r="S515" s="531"/>
      <c r="T515" s="531"/>
      <c r="U515" s="531"/>
      <c r="V515" s="531"/>
      <c r="W515" s="531"/>
      <c r="X515" s="531"/>
    </row>
    <row r="516" spans="16:24" s="508" customFormat="1" ht="16.5">
      <c r="P516" s="531"/>
      <c r="Q516" s="531"/>
      <c r="R516" s="531"/>
      <c r="S516" s="531"/>
      <c r="T516" s="531"/>
      <c r="U516" s="531"/>
      <c r="V516" s="531"/>
      <c r="W516" s="531"/>
      <c r="X516" s="531"/>
    </row>
    <row r="517" spans="16:24" s="508" customFormat="1" ht="16.5">
      <c r="P517" s="531"/>
      <c r="Q517" s="531"/>
      <c r="R517" s="531"/>
      <c r="S517" s="531"/>
      <c r="T517" s="531"/>
      <c r="U517" s="531"/>
      <c r="V517" s="531"/>
      <c r="W517" s="531"/>
      <c r="X517" s="531"/>
    </row>
    <row r="518" spans="16:24" s="508" customFormat="1" ht="16.5">
      <c r="P518" s="531"/>
      <c r="Q518" s="531"/>
      <c r="R518" s="531"/>
      <c r="S518" s="531"/>
      <c r="T518" s="531"/>
      <c r="U518" s="531"/>
      <c r="V518" s="531"/>
      <c r="W518" s="531"/>
      <c r="X518" s="531"/>
    </row>
    <row r="519" spans="16:24" s="508" customFormat="1" ht="16.5">
      <c r="P519" s="531"/>
      <c r="Q519" s="531"/>
      <c r="R519" s="531"/>
      <c r="S519" s="531"/>
      <c r="T519" s="531"/>
      <c r="U519" s="531"/>
      <c r="V519" s="531"/>
      <c r="W519" s="531"/>
      <c r="X519" s="531"/>
    </row>
    <row r="520" spans="16:24" s="508" customFormat="1" ht="16.5">
      <c r="P520" s="531"/>
      <c r="Q520" s="531"/>
      <c r="R520" s="531"/>
      <c r="S520" s="531"/>
      <c r="T520" s="531"/>
      <c r="U520" s="531"/>
      <c r="V520" s="531"/>
      <c r="W520" s="531"/>
      <c r="X520" s="531"/>
    </row>
    <row r="521" spans="16:24" s="508" customFormat="1" ht="16.5">
      <c r="P521" s="531"/>
      <c r="Q521" s="531"/>
      <c r="R521" s="531"/>
      <c r="S521" s="531"/>
      <c r="T521" s="531"/>
      <c r="U521" s="531"/>
      <c r="V521" s="531"/>
      <c r="W521" s="531"/>
      <c r="X521" s="531"/>
    </row>
    <row r="522" spans="16:24" s="508" customFormat="1" ht="16.5">
      <c r="P522" s="531"/>
      <c r="Q522" s="531"/>
      <c r="R522" s="531"/>
      <c r="S522" s="531"/>
      <c r="T522" s="531"/>
      <c r="U522" s="531"/>
      <c r="V522" s="531"/>
      <c r="W522" s="531"/>
      <c r="X522" s="531"/>
    </row>
    <row r="523" spans="16:24" s="532" customFormat="1" ht="16.5">
      <c r="P523" s="531"/>
      <c r="Q523" s="531"/>
      <c r="R523" s="531"/>
      <c r="S523" s="531"/>
      <c r="T523" s="531"/>
      <c r="U523" s="531"/>
      <c r="V523" s="531"/>
      <c r="W523" s="531"/>
      <c r="X523" s="531"/>
    </row>
    <row r="524" spans="16:24" s="532" customFormat="1" ht="16.5">
      <c r="P524" s="531"/>
      <c r="Q524" s="531"/>
      <c r="R524" s="531"/>
      <c r="S524" s="531"/>
      <c r="T524" s="531"/>
      <c r="U524" s="531"/>
      <c r="V524" s="531"/>
      <c r="W524" s="531"/>
      <c r="X524" s="531"/>
    </row>
    <row r="525" spans="16:24" s="532" customFormat="1" ht="16.5">
      <c r="P525" s="531"/>
      <c r="Q525" s="531"/>
      <c r="R525" s="531"/>
      <c r="S525" s="531"/>
      <c r="T525" s="531"/>
      <c r="U525" s="531"/>
      <c r="V525" s="531"/>
      <c r="W525" s="531"/>
      <c r="X525" s="531"/>
    </row>
    <row r="526" spans="16:24" s="532" customFormat="1" ht="16.5">
      <c r="P526" s="531"/>
      <c r="Q526" s="531"/>
      <c r="R526" s="531"/>
      <c r="S526" s="531"/>
      <c r="T526" s="531"/>
      <c r="U526" s="531"/>
      <c r="V526" s="531"/>
      <c r="W526" s="531"/>
      <c r="X526" s="531"/>
    </row>
    <row r="527" spans="16:24" s="532" customFormat="1" ht="16.5">
      <c r="P527" s="531"/>
      <c r="Q527" s="531"/>
      <c r="R527" s="531"/>
      <c r="S527" s="531"/>
      <c r="T527" s="531"/>
      <c r="U527" s="531"/>
      <c r="V527" s="531"/>
      <c r="W527" s="531"/>
      <c r="X527" s="531"/>
    </row>
    <row r="528" spans="16:24" s="532" customFormat="1" ht="16.5">
      <c r="P528" s="531"/>
      <c r="Q528" s="531"/>
      <c r="R528" s="531"/>
      <c r="S528" s="531"/>
      <c r="T528" s="531"/>
      <c r="U528" s="531"/>
      <c r="V528" s="531"/>
      <c r="W528" s="531"/>
      <c r="X528" s="531"/>
    </row>
    <row r="529" spans="16:24" s="532" customFormat="1" ht="16.5">
      <c r="P529" s="531"/>
      <c r="Q529" s="531"/>
      <c r="R529" s="531"/>
      <c r="S529" s="531"/>
      <c r="T529" s="531"/>
      <c r="U529" s="531"/>
      <c r="V529" s="531"/>
      <c r="W529" s="531"/>
      <c r="X529" s="531"/>
    </row>
    <row r="530" spans="16:24" s="532" customFormat="1" ht="16.5">
      <c r="P530" s="531"/>
      <c r="Q530" s="531"/>
      <c r="R530" s="531"/>
      <c r="S530" s="531"/>
      <c r="T530" s="531"/>
      <c r="U530" s="531"/>
      <c r="V530" s="531"/>
      <c r="W530" s="531"/>
      <c r="X530" s="531"/>
    </row>
    <row r="531" spans="16:24" s="532" customFormat="1" ht="16.5">
      <c r="P531" s="531"/>
      <c r="Q531" s="531"/>
      <c r="R531" s="531"/>
      <c r="S531" s="531"/>
      <c r="T531" s="531"/>
      <c r="U531" s="531"/>
      <c r="V531" s="531"/>
      <c r="W531" s="531"/>
      <c r="X531" s="531"/>
    </row>
    <row r="532" spans="16:24" s="532" customFormat="1" ht="16.5">
      <c r="P532" s="531"/>
      <c r="Q532" s="531"/>
      <c r="R532" s="531"/>
      <c r="S532" s="531"/>
      <c r="T532" s="531"/>
      <c r="U532" s="531"/>
      <c r="V532" s="531"/>
      <c r="W532" s="531"/>
      <c r="X532" s="531"/>
    </row>
    <row r="533" spans="16:24" s="532" customFormat="1" ht="16.5">
      <c r="P533" s="531"/>
      <c r="Q533" s="531"/>
      <c r="R533" s="531"/>
      <c r="S533" s="531"/>
      <c r="T533" s="531"/>
      <c r="U533" s="531"/>
      <c r="V533" s="531"/>
      <c r="W533" s="531"/>
      <c r="X533" s="531"/>
    </row>
    <row r="534" spans="16:24" s="532" customFormat="1" ht="16.5">
      <c r="P534" s="531"/>
      <c r="Q534" s="531"/>
      <c r="R534" s="531"/>
      <c r="S534" s="531"/>
      <c r="T534" s="531"/>
      <c r="U534" s="531"/>
      <c r="V534" s="531"/>
      <c r="W534" s="531"/>
      <c r="X534" s="531"/>
    </row>
    <row r="535" spans="16:24" s="532" customFormat="1" ht="16.5">
      <c r="P535" s="531"/>
      <c r="Q535" s="531"/>
      <c r="R535" s="531"/>
      <c r="S535" s="531"/>
      <c r="T535" s="531"/>
      <c r="U535" s="531"/>
      <c r="V535" s="531"/>
      <c r="W535" s="531"/>
      <c r="X535" s="531"/>
    </row>
    <row r="536" spans="16:24" s="532" customFormat="1" ht="16.5">
      <c r="P536" s="531"/>
      <c r="Q536" s="531"/>
      <c r="R536" s="531"/>
      <c r="S536" s="531"/>
      <c r="T536" s="531"/>
      <c r="U536" s="531"/>
      <c r="V536" s="531"/>
      <c r="W536" s="531"/>
      <c r="X536" s="531"/>
    </row>
    <row r="537" spans="16:24" s="532" customFormat="1" ht="16.5">
      <c r="P537" s="531"/>
      <c r="Q537" s="531"/>
      <c r="R537" s="531"/>
      <c r="S537" s="531"/>
      <c r="T537" s="531"/>
      <c r="U537" s="531"/>
      <c r="V537" s="531"/>
      <c r="W537" s="531"/>
      <c r="X537" s="531"/>
    </row>
    <row r="538" spans="16:24" s="532" customFormat="1" ht="16.5">
      <c r="P538" s="531"/>
      <c r="Q538" s="531"/>
      <c r="R538" s="531"/>
      <c r="S538" s="531"/>
      <c r="T538" s="531"/>
      <c r="U538" s="531"/>
      <c r="V538" s="531"/>
      <c r="W538" s="531"/>
      <c r="X538" s="531"/>
    </row>
    <row r="539" spans="16:24" s="532" customFormat="1" ht="16.5">
      <c r="P539" s="508"/>
      <c r="Q539" s="508"/>
      <c r="R539" s="508"/>
      <c r="S539" s="508"/>
      <c r="T539" s="508"/>
      <c r="U539" s="508"/>
      <c r="V539" s="508"/>
      <c r="W539" s="508"/>
      <c r="X539" s="508"/>
    </row>
    <row r="540" spans="16:24" s="532" customFormat="1" ht="16.5">
      <c r="P540" s="508"/>
      <c r="Q540" s="508"/>
      <c r="R540" s="508"/>
      <c r="S540" s="508"/>
      <c r="T540" s="508"/>
      <c r="U540" s="508"/>
      <c r="V540" s="508"/>
      <c r="W540" s="508"/>
      <c r="X540" s="508"/>
    </row>
    <row r="541" spans="16:24" s="532" customFormat="1" ht="16.5">
      <c r="P541" s="508"/>
      <c r="Q541" s="508"/>
      <c r="R541" s="508"/>
      <c r="S541" s="508"/>
      <c r="T541" s="508"/>
      <c r="U541" s="508"/>
      <c r="V541" s="508"/>
      <c r="W541" s="508"/>
      <c r="X541" s="508"/>
    </row>
    <row r="542" spans="16:24" s="532" customFormat="1" ht="16.5">
      <c r="P542" s="508"/>
      <c r="Q542" s="508"/>
      <c r="R542" s="508"/>
      <c r="S542" s="508"/>
      <c r="T542" s="508"/>
      <c r="U542" s="508"/>
      <c r="V542" s="508"/>
      <c r="W542" s="508"/>
      <c r="X542" s="508"/>
    </row>
    <row r="543" spans="16:24" s="532" customFormat="1" ht="16.5">
      <c r="P543" s="508"/>
      <c r="Q543" s="508"/>
      <c r="R543" s="508"/>
      <c r="S543" s="508"/>
      <c r="T543" s="508"/>
      <c r="U543" s="508"/>
      <c r="V543" s="508"/>
      <c r="W543" s="508"/>
      <c r="X543" s="508"/>
    </row>
    <row r="544" spans="16:24" s="532" customFormat="1" ht="16.5">
      <c r="P544" s="508"/>
      <c r="Q544" s="508"/>
      <c r="R544" s="508"/>
      <c r="S544" s="508"/>
      <c r="T544" s="508"/>
      <c r="U544" s="508"/>
      <c r="V544" s="508"/>
      <c r="W544" s="508"/>
      <c r="X544" s="508"/>
    </row>
    <row r="545" spans="16:24" s="532" customFormat="1" ht="16.5">
      <c r="P545" s="508"/>
      <c r="Q545" s="508"/>
      <c r="R545" s="508"/>
      <c r="S545" s="508"/>
      <c r="T545" s="508"/>
      <c r="U545" s="508"/>
      <c r="V545" s="508"/>
      <c r="W545" s="508"/>
      <c r="X545" s="508"/>
    </row>
    <row r="546" spans="16:24" s="532" customFormat="1" ht="16.5">
      <c r="P546" s="508"/>
      <c r="Q546" s="508"/>
      <c r="R546" s="508"/>
      <c r="S546" s="508"/>
      <c r="T546" s="508"/>
      <c r="U546" s="508"/>
      <c r="V546" s="508"/>
      <c r="W546" s="508"/>
      <c r="X546" s="508"/>
    </row>
    <row r="547" spans="16:24" s="532" customFormat="1" ht="16.5">
      <c r="P547" s="508"/>
      <c r="Q547" s="508"/>
      <c r="R547" s="508"/>
      <c r="S547" s="508"/>
      <c r="T547" s="508"/>
      <c r="U547" s="508"/>
      <c r="V547" s="508"/>
      <c r="W547" s="508"/>
      <c r="X547" s="508"/>
    </row>
    <row r="548" spans="16:24" s="532" customFormat="1" ht="16.5">
      <c r="P548" s="508"/>
      <c r="Q548" s="508"/>
      <c r="R548" s="508"/>
      <c r="S548" s="508"/>
      <c r="T548" s="508"/>
      <c r="U548" s="508"/>
      <c r="V548" s="508"/>
      <c r="W548" s="508"/>
      <c r="X548" s="508"/>
    </row>
    <row r="549" spans="16:24" s="532" customFormat="1" ht="16.5">
      <c r="P549" s="508"/>
      <c r="Q549" s="508"/>
      <c r="R549" s="508"/>
      <c r="S549" s="508"/>
      <c r="T549" s="508"/>
      <c r="U549" s="508"/>
      <c r="V549" s="508"/>
      <c r="W549" s="508"/>
      <c r="X549" s="508"/>
    </row>
    <row r="550" spans="16:24" s="532" customFormat="1" ht="16.5">
      <c r="P550" s="508"/>
      <c r="Q550" s="508"/>
      <c r="R550" s="508"/>
      <c r="S550" s="508"/>
      <c r="T550" s="508"/>
      <c r="U550" s="508"/>
      <c r="V550" s="508"/>
      <c r="W550" s="508"/>
      <c r="X550" s="508"/>
    </row>
    <row r="551" spans="16:24" s="532" customFormat="1" ht="16.5">
      <c r="P551" s="508"/>
      <c r="Q551" s="508"/>
      <c r="R551" s="508"/>
      <c r="S551" s="508"/>
      <c r="T551" s="508"/>
      <c r="U551" s="508"/>
      <c r="V551" s="508"/>
      <c r="W551" s="508"/>
      <c r="X551" s="508"/>
    </row>
    <row r="552" spans="16:24" s="532" customFormat="1" ht="16.5">
      <c r="P552" s="508"/>
      <c r="Q552" s="508"/>
      <c r="R552" s="508"/>
      <c r="S552" s="508"/>
      <c r="T552" s="508"/>
      <c r="U552" s="508"/>
      <c r="V552" s="508"/>
      <c r="W552" s="508"/>
      <c r="X552" s="508"/>
    </row>
    <row r="553" spans="16:24" s="532" customFormat="1" ht="16.5">
      <c r="P553" s="508"/>
      <c r="Q553" s="508"/>
      <c r="R553" s="508"/>
      <c r="S553" s="508"/>
      <c r="T553" s="508"/>
      <c r="U553" s="508"/>
      <c r="V553" s="508"/>
      <c r="W553" s="508"/>
      <c r="X553" s="508"/>
    </row>
    <row r="554" spans="16:24" s="532" customFormat="1" ht="16.5">
      <c r="P554" s="508"/>
      <c r="Q554" s="508"/>
      <c r="R554" s="508"/>
      <c r="S554" s="508"/>
      <c r="T554" s="508"/>
      <c r="U554" s="508"/>
      <c r="V554" s="508"/>
      <c r="W554" s="508"/>
      <c r="X554" s="508"/>
    </row>
    <row r="555" spans="16:24" s="532" customFormat="1" ht="16.5">
      <c r="P555" s="508"/>
      <c r="Q555" s="508"/>
      <c r="R555" s="508"/>
      <c r="S555" s="508"/>
      <c r="T555" s="508"/>
      <c r="U555" s="508"/>
      <c r="V555" s="508"/>
      <c r="W555" s="508"/>
      <c r="X555" s="508"/>
    </row>
    <row r="556" spans="16:24" s="532" customFormat="1" ht="16.5">
      <c r="P556" s="508"/>
      <c r="Q556" s="508"/>
      <c r="R556" s="508"/>
      <c r="S556" s="508"/>
      <c r="T556" s="508"/>
      <c r="U556" s="508"/>
      <c r="V556" s="508"/>
      <c r="W556" s="508"/>
      <c r="X556" s="508"/>
    </row>
    <row r="557" spans="16:24" s="532" customFormat="1" ht="16.5">
      <c r="P557" s="508"/>
      <c r="Q557" s="508"/>
      <c r="R557" s="508"/>
      <c r="S557" s="508"/>
      <c r="T557" s="508"/>
      <c r="U557" s="508"/>
      <c r="V557" s="508"/>
      <c r="W557" s="508"/>
      <c r="X557" s="508"/>
    </row>
    <row r="558" spans="16:24" s="532" customFormat="1" ht="16.5">
      <c r="P558" s="508"/>
      <c r="Q558" s="508"/>
      <c r="R558" s="508"/>
      <c r="S558" s="508"/>
      <c r="T558" s="508"/>
      <c r="U558" s="508"/>
      <c r="V558" s="508"/>
      <c r="W558" s="508"/>
      <c r="X558" s="508"/>
    </row>
    <row r="559" spans="16:24" s="532" customFormat="1" ht="16.5">
      <c r="P559" s="508"/>
      <c r="Q559" s="508"/>
      <c r="R559" s="508"/>
      <c r="S559" s="508"/>
      <c r="T559" s="508"/>
      <c r="U559" s="508"/>
      <c r="V559" s="508"/>
      <c r="W559" s="508"/>
      <c r="X559" s="508"/>
    </row>
    <row r="560" spans="16:24" s="532" customFormat="1" ht="16.5">
      <c r="P560" s="508"/>
      <c r="Q560" s="508"/>
      <c r="R560" s="508"/>
      <c r="S560" s="508"/>
      <c r="T560" s="508"/>
      <c r="U560" s="508"/>
      <c r="V560" s="508"/>
      <c r="W560" s="508"/>
      <c r="X560" s="508"/>
    </row>
    <row r="561" spans="16:24" s="532" customFormat="1" ht="16.5">
      <c r="P561" s="508"/>
      <c r="Q561" s="508"/>
      <c r="R561" s="508"/>
      <c r="S561" s="508"/>
      <c r="T561" s="508"/>
      <c r="U561" s="508"/>
      <c r="V561" s="508"/>
      <c r="W561" s="508"/>
      <c r="X561" s="508"/>
    </row>
    <row r="562" spans="16:24" s="532" customFormat="1" ht="16.5">
      <c r="P562" s="508"/>
      <c r="Q562" s="508"/>
      <c r="R562" s="508"/>
      <c r="S562" s="508"/>
      <c r="T562" s="508"/>
      <c r="U562" s="508"/>
      <c r="V562" s="508"/>
      <c r="W562" s="508"/>
      <c r="X562" s="508"/>
    </row>
    <row r="563" spans="16:24" s="532" customFormat="1" ht="16.5">
      <c r="P563" s="508"/>
      <c r="Q563" s="508"/>
      <c r="R563" s="508"/>
      <c r="S563" s="508"/>
      <c r="T563" s="508"/>
      <c r="U563" s="508"/>
      <c r="V563" s="508"/>
      <c r="W563" s="508"/>
      <c r="X563" s="508"/>
    </row>
    <row r="564" spans="16:24" s="532" customFormat="1" ht="16.5">
      <c r="P564" s="508"/>
      <c r="Q564" s="508"/>
      <c r="R564" s="508"/>
      <c r="S564" s="508"/>
      <c r="T564" s="508"/>
      <c r="U564" s="508"/>
      <c r="V564" s="508"/>
      <c r="W564" s="508"/>
      <c r="X564" s="508"/>
    </row>
    <row r="565" spans="16:24" s="532" customFormat="1" ht="16.5">
      <c r="P565" s="508"/>
      <c r="Q565" s="508"/>
      <c r="R565" s="508"/>
      <c r="S565" s="508"/>
      <c r="T565" s="508"/>
      <c r="U565" s="508"/>
      <c r="V565" s="508"/>
      <c r="W565" s="508"/>
      <c r="X565" s="508"/>
    </row>
    <row r="566" spans="16:24" s="532" customFormat="1" ht="16.5">
      <c r="P566" s="508"/>
      <c r="Q566" s="508"/>
      <c r="R566" s="508"/>
      <c r="S566" s="508"/>
      <c r="T566" s="508"/>
      <c r="U566" s="508"/>
      <c r="V566" s="508"/>
      <c r="W566" s="508"/>
      <c r="X566" s="508"/>
    </row>
    <row r="567" spans="16:24" s="532" customFormat="1" ht="16.5">
      <c r="P567" s="508"/>
      <c r="Q567" s="508"/>
      <c r="R567" s="508"/>
      <c r="S567" s="508"/>
      <c r="T567" s="508"/>
      <c r="U567" s="508"/>
      <c r="V567" s="508"/>
      <c r="W567" s="508"/>
      <c r="X567" s="508"/>
    </row>
    <row r="568" spans="16:24" s="532" customFormat="1" ht="16.5">
      <c r="P568" s="508"/>
      <c r="Q568" s="508"/>
      <c r="R568" s="508"/>
      <c r="S568" s="508"/>
      <c r="T568" s="508"/>
      <c r="U568" s="508"/>
      <c r="V568" s="508"/>
      <c r="W568" s="508"/>
      <c r="X568" s="508"/>
    </row>
    <row r="569" spans="16:24" s="532" customFormat="1" ht="16.5">
      <c r="P569" s="508"/>
      <c r="Q569" s="508"/>
      <c r="R569" s="508"/>
      <c r="S569" s="508"/>
      <c r="T569" s="508"/>
      <c r="U569" s="508"/>
      <c r="V569" s="508"/>
      <c r="W569" s="508"/>
      <c r="X569" s="508"/>
    </row>
    <row r="570" spans="16:24" s="532" customFormat="1" ht="16.5">
      <c r="P570" s="508"/>
      <c r="Q570" s="508"/>
      <c r="R570" s="508"/>
      <c r="S570" s="508"/>
      <c r="T570" s="508"/>
      <c r="U570" s="508"/>
      <c r="V570" s="508"/>
      <c r="W570" s="508"/>
      <c r="X570" s="508"/>
    </row>
    <row r="571" spans="16:24" s="532" customFormat="1" ht="16.5">
      <c r="P571" s="508"/>
      <c r="Q571" s="508"/>
      <c r="R571" s="508"/>
      <c r="S571" s="508"/>
      <c r="T571" s="508"/>
      <c r="U571" s="508"/>
      <c r="V571" s="508"/>
      <c r="W571" s="508"/>
      <c r="X571" s="508"/>
    </row>
    <row r="572" spans="16:24" s="532" customFormat="1" ht="16.5">
      <c r="P572" s="508"/>
      <c r="Q572" s="508"/>
      <c r="R572" s="508"/>
      <c r="S572" s="508"/>
      <c r="T572" s="508"/>
      <c r="U572" s="508"/>
      <c r="V572" s="508"/>
      <c r="W572" s="508"/>
      <c r="X572" s="508"/>
    </row>
    <row r="573" spans="16:24" s="532" customFormat="1" ht="16.5">
      <c r="P573" s="508"/>
      <c r="Q573" s="508"/>
      <c r="R573" s="508"/>
      <c r="S573" s="508"/>
      <c r="T573" s="508"/>
      <c r="U573" s="508"/>
      <c r="V573" s="508"/>
      <c r="W573" s="508"/>
      <c r="X573" s="508"/>
    </row>
    <row r="574" spans="16:24" s="532" customFormat="1" ht="16.5">
      <c r="P574" s="508"/>
      <c r="Q574" s="508"/>
      <c r="R574" s="508"/>
      <c r="S574" s="508"/>
      <c r="T574" s="508"/>
      <c r="U574" s="508"/>
      <c r="V574" s="508"/>
      <c r="W574" s="508"/>
      <c r="X574" s="508"/>
    </row>
    <row r="575" spans="16:24" s="532" customFormat="1" ht="16.5">
      <c r="P575" s="508"/>
      <c r="Q575" s="508"/>
      <c r="R575" s="508"/>
      <c r="S575" s="508"/>
      <c r="T575" s="508"/>
      <c r="U575" s="508"/>
      <c r="V575" s="508"/>
      <c r="W575" s="508"/>
      <c r="X575" s="508"/>
    </row>
    <row r="576" spans="16:24" s="532" customFormat="1" ht="16.5">
      <c r="P576" s="508"/>
      <c r="Q576" s="508"/>
      <c r="R576" s="508"/>
      <c r="S576" s="508"/>
      <c r="T576" s="508"/>
      <c r="U576" s="508"/>
      <c r="V576" s="508"/>
      <c r="W576" s="508"/>
      <c r="X576" s="508"/>
    </row>
    <row r="577" spans="16:24" s="532" customFormat="1" ht="16.5">
      <c r="P577" s="508"/>
      <c r="Q577" s="508"/>
      <c r="R577" s="508"/>
      <c r="S577" s="508"/>
      <c r="T577" s="508"/>
      <c r="U577" s="508"/>
      <c r="V577" s="508"/>
      <c r="W577" s="508"/>
      <c r="X577" s="508"/>
    </row>
    <row r="578" spans="16:24" s="532" customFormat="1" ht="16.5">
      <c r="P578" s="508"/>
      <c r="Q578" s="508"/>
      <c r="R578" s="508"/>
      <c r="S578" s="508"/>
      <c r="T578" s="508"/>
      <c r="U578" s="508"/>
      <c r="V578" s="508"/>
      <c r="W578" s="508"/>
      <c r="X578" s="508"/>
    </row>
    <row r="579" spans="16:24" s="532" customFormat="1" ht="16.5">
      <c r="P579" s="508"/>
      <c r="Q579" s="508"/>
      <c r="R579" s="508"/>
      <c r="S579" s="508"/>
      <c r="T579" s="508"/>
      <c r="U579" s="508"/>
      <c r="V579" s="508"/>
      <c r="W579" s="508"/>
      <c r="X579" s="508"/>
    </row>
    <row r="580" spans="16:24" s="532" customFormat="1" ht="16.5">
      <c r="P580" s="508"/>
      <c r="Q580" s="508"/>
      <c r="R580" s="508"/>
      <c r="S580" s="508"/>
      <c r="T580" s="508"/>
      <c r="U580" s="508"/>
      <c r="V580" s="508"/>
      <c r="W580" s="508"/>
      <c r="X580" s="508"/>
    </row>
    <row r="581" spans="16:24" s="532" customFormat="1" ht="16.5">
      <c r="P581" s="508"/>
      <c r="Q581" s="508"/>
      <c r="R581" s="508"/>
      <c r="S581" s="508"/>
      <c r="T581" s="508"/>
      <c r="U581" s="508"/>
      <c r="V581" s="508"/>
      <c r="W581" s="508"/>
      <c r="X581" s="508"/>
    </row>
    <row r="582" spans="16:24" s="532" customFormat="1" ht="16.5">
      <c r="P582" s="508"/>
      <c r="Q582" s="508"/>
      <c r="R582" s="508"/>
      <c r="S582" s="508"/>
      <c r="T582" s="508"/>
      <c r="U582" s="508"/>
      <c r="V582" s="508"/>
      <c r="W582" s="508"/>
      <c r="X582" s="508"/>
    </row>
    <row r="583" spans="16:24" s="532" customFormat="1" ht="16.5">
      <c r="P583" s="508"/>
      <c r="Q583" s="508"/>
      <c r="R583" s="508"/>
      <c r="S583" s="508"/>
      <c r="T583" s="508"/>
      <c r="U583" s="508"/>
      <c r="V583" s="508"/>
      <c r="W583" s="508"/>
      <c r="X583" s="508"/>
    </row>
    <row r="584" spans="16:24" s="532" customFormat="1" ht="16.5">
      <c r="P584" s="508"/>
      <c r="Q584" s="508"/>
      <c r="R584" s="508"/>
      <c r="S584" s="508"/>
      <c r="T584" s="508"/>
      <c r="U584" s="508"/>
      <c r="V584" s="508"/>
      <c r="W584" s="508"/>
      <c r="X584" s="508"/>
    </row>
    <row r="585" spans="16:24" s="532" customFormat="1" ht="16.5">
      <c r="P585" s="508"/>
      <c r="Q585" s="508"/>
      <c r="R585" s="508"/>
      <c r="S585" s="508"/>
      <c r="T585" s="508"/>
      <c r="U585" s="508"/>
      <c r="V585" s="508"/>
      <c r="W585" s="508"/>
      <c r="X585" s="508"/>
    </row>
    <row r="586" spans="16:24" s="532" customFormat="1" ht="16.5">
      <c r="P586" s="508"/>
      <c r="Q586" s="508"/>
      <c r="R586" s="508"/>
      <c r="S586" s="508"/>
      <c r="T586" s="508"/>
      <c r="U586" s="508"/>
      <c r="V586" s="508"/>
      <c r="W586" s="508"/>
      <c r="X586" s="508"/>
    </row>
    <row r="587" spans="16:24" s="532" customFormat="1" ht="16.5">
      <c r="P587" s="508"/>
      <c r="Q587" s="508"/>
      <c r="R587" s="508"/>
      <c r="S587" s="508"/>
      <c r="T587" s="508"/>
      <c r="U587" s="508"/>
      <c r="V587" s="508"/>
      <c r="W587" s="508"/>
      <c r="X587" s="508"/>
    </row>
    <row r="588" spans="16:24" s="532" customFormat="1" ht="16.5">
      <c r="P588" s="508"/>
      <c r="Q588" s="508"/>
      <c r="R588" s="508"/>
      <c r="S588" s="508"/>
      <c r="T588" s="508"/>
      <c r="U588" s="508"/>
      <c r="V588" s="508"/>
      <c r="W588" s="508"/>
      <c r="X588" s="508"/>
    </row>
    <row r="589" spans="16:24" s="532" customFormat="1" ht="16.5">
      <c r="P589" s="508"/>
      <c r="Q589" s="508"/>
      <c r="R589" s="508"/>
      <c r="S589" s="508"/>
      <c r="T589" s="508"/>
      <c r="U589" s="508"/>
      <c r="V589" s="508"/>
      <c r="W589" s="508"/>
      <c r="X589" s="508"/>
    </row>
    <row r="590" spans="16:24" s="532" customFormat="1" ht="16.5">
      <c r="P590" s="508"/>
      <c r="Q590" s="508"/>
      <c r="R590" s="508"/>
      <c r="S590" s="508"/>
      <c r="T590" s="508"/>
      <c r="U590" s="508"/>
      <c r="V590" s="508"/>
      <c r="W590" s="508"/>
      <c r="X590" s="508"/>
    </row>
    <row r="591" spans="16:24" s="532" customFormat="1" ht="16.5">
      <c r="P591" s="508"/>
      <c r="Q591" s="508"/>
      <c r="R591" s="508"/>
      <c r="S591" s="508"/>
      <c r="T591" s="508"/>
      <c r="U591" s="508"/>
      <c r="V591" s="508"/>
      <c r="W591" s="508"/>
      <c r="X591" s="508"/>
    </row>
    <row r="592" spans="16:24" s="532" customFormat="1" ht="16.5">
      <c r="P592" s="508"/>
      <c r="Q592" s="508"/>
      <c r="R592" s="508"/>
      <c r="S592" s="508"/>
      <c r="T592" s="508"/>
      <c r="U592" s="508"/>
      <c r="V592" s="508"/>
      <c r="W592" s="508"/>
      <c r="X592" s="508"/>
    </row>
    <row r="593" spans="16:24" s="532" customFormat="1" ht="16.5">
      <c r="P593" s="508"/>
      <c r="Q593" s="508"/>
      <c r="R593" s="508"/>
      <c r="S593" s="508"/>
      <c r="T593" s="508"/>
      <c r="U593" s="508"/>
      <c r="V593" s="508"/>
      <c r="W593" s="508"/>
      <c r="X593" s="508"/>
    </row>
    <row r="594" spans="16:24" s="532" customFormat="1" ht="16.5">
      <c r="P594" s="508"/>
      <c r="Q594" s="508"/>
      <c r="R594" s="508"/>
      <c r="S594" s="508"/>
      <c r="T594" s="508"/>
      <c r="U594" s="508"/>
      <c r="V594" s="508"/>
      <c r="W594" s="508"/>
      <c r="X594" s="508"/>
    </row>
    <row r="595" spans="16:24" s="532" customFormat="1" ht="16.5">
      <c r="P595" s="508"/>
      <c r="Q595" s="508"/>
      <c r="R595" s="508"/>
      <c r="S595" s="508"/>
      <c r="T595" s="508"/>
      <c r="U595" s="508"/>
      <c r="V595" s="508"/>
      <c r="W595" s="508"/>
      <c r="X595" s="508"/>
    </row>
    <row r="596" spans="16:24" s="532" customFormat="1" ht="16.5">
      <c r="P596" s="508"/>
      <c r="Q596" s="508"/>
      <c r="R596" s="508"/>
      <c r="S596" s="508"/>
      <c r="T596" s="508"/>
      <c r="U596" s="508"/>
      <c r="V596" s="508"/>
      <c r="W596" s="508"/>
      <c r="X596" s="508"/>
    </row>
    <row r="597" spans="16:24" s="532" customFormat="1" ht="16.5">
      <c r="P597" s="508"/>
      <c r="Q597" s="508"/>
      <c r="R597" s="508"/>
      <c r="S597" s="508"/>
      <c r="T597" s="508"/>
      <c r="U597" s="508"/>
      <c r="V597" s="508"/>
      <c r="W597" s="508"/>
      <c r="X597" s="508"/>
    </row>
    <row r="598" spans="16:24" s="532" customFormat="1" ht="16.5">
      <c r="P598" s="508"/>
      <c r="Q598" s="508"/>
      <c r="R598" s="508"/>
      <c r="S598" s="508"/>
      <c r="T598" s="508"/>
      <c r="U598" s="508"/>
      <c r="V598" s="508"/>
      <c r="W598" s="508"/>
      <c r="X598" s="508"/>
    </row>
    <row r="599" spans="16:24" s="532" customFormat="1" ht="16.5">
      <c r="P599" s="508"/>
      <c r="Q599" s="508"/>
      <c r="R599" s="508"/>
      <c r="S599" s="508"/>
      <c r="T599" s="508"/>
      <c r="U599" s="508"/>
      <c r="V599" s="508"/>
      <c r="W599" s="508"/>
      <c r="X599" s="508"/>
    </row>
    <row r="600" spans="16:24" s="532" customFormat="1" ht="16.5">
      <c r="P600" s="508"/>
      <c r="Q600" s="508"/>
      <c r="R600" s="508"/>
      <c r="S600" s="508"/>
      <c r="T600" s="508"/>
      <c r="U600" s="508"/>
      <c r="V600" s="508"/>
      <c r="W600" s="508"/>
      <c r="X600" s="508"/>
    </row>
    <row r="601" spans="16:24" s="532" customFormat="1" ht="16.5">
      <c r="P601" s="508"/>
      <c r="Q601" s="508"/>
      <c r="R601" s="508"/>
      <c r="S601" s="508"/>
      <c r="T601" s="508"/>
      <c r="U601" s="508"/>
      <c r="V601" s="508"/>
      <c r="W601" s="508"/>
      <c r="X601" s="508"/>
    </row>
    <row r="602" spans="16:24" s="532" customFormat="1" ht="16.5">
      <c r="P602" s="508"/>
      <c r="Q602" s="508"/>
      <c r="R602" s="508"/>
      <c r="S602" s="508"/>
      <c r="T602" s="508"/>
      <c r="U602" s="508"/>
      <c r="V602" s="508"/>
      <c r="W602" s="508"/>
      <c r="X602" s="508"/>
    </row>
    <row r="603" spans="16:24" s="532" customFormat="1" ht="16.5">
      <c r="P603" s="508"/>
      <c r="Q603" s="508"/>
      <c r="R603" s="508"/>
      <c r="S603" s="508"/>
      <c r="T603" s="508"/>
      <c r="U603" s="508"/>
      <c r="V603" s="508"/>
      <c r="W603" s="508"/>
      <c r="X603" s="508"/>
    </row>
    <row r="604" spans="16:24" s="532" customFormat="1" ht="16.5">
      <c r="P604" s="508"/>
      <c r="Q604" s="508"/>
      <c r="R604" s="508"/>
      <c r="S604" s="508"/>
      <c r="T604" s="508"/>
      <c r="U604" s="508"/>
      <c r="V604" s="508"/>
      <c r="W604" s="508"/>
      <c r="X604" s="508"/>
    </row>
    <row r="605" spans="16:24" s="532" customFormat="1" ht="16.5">
      <c r="P605" s="508"/>
      <c r="Q605" s="508"/>
      <c r="R605" s="508"/>
      <c r="S605" s="508"/>
      <c r="T605" s="508"/>
      <c r="U605" s="508"/>
      <c r="V605" s="508"/>
      <c r="W605" s="508"/>
      <c r="X605" s="508"/>
    </row>
    <row r="606" spans="16:24" s="532" customFormat="1" ht="16.5">
      <c r="P606" s="508"/>
      <c r="Q606" s="508"/>
      <c r="R606" s="508"/>
      <c r="S606" s="508"/>
      <c r="T606" s="508"/>
      <c r="U606" s="508"/>
      <c r="V606" s="508"/>
      <c r="W606" s="508"/>
      <c r="X606" s="508"/>
    </row>
    <row r="607" spans="16:24" s="532" customFormat="1" ht="16.5">
      <c r="P607" s="508"/>
      <c r="Q607" s="508"/>
      <c r="R607" s="508"/>
      <c r="S607" s="508"/>
      <c r="T607" s="508"/>
      <c r="U607" s="508"/>
      <c r="V607" s="508"/>
      <c r="W607" s="508"/>
      <c r="X607" s="508"/>
    </row>
    <row r="608" spans="16:24" s="532" customFormat="1" ht="16.5">
      <c r="P608" s="508"/>
      <c r="Q608" s="508"/>
      <c r="R608" s="508"/>
      <c r="S608" s="508"/>
      <c r="T608" s="508"/>
      <c r="U608" s="508"/>
      <c r="V608" s="508"/>
      <c r="W608" s="508"/>
      <c r="X608" s="508"/>
    </row>
    <row r="609" spans="16:24" s="532" customFormat="1" ht="16.5">
      <c r="P609" s="508"/>
      <c r="Q609" s="508"/>
      <c r="R609" s="508"/>
      <c r="S609" s="508"/>
      <c r="T609" s="508"/>
      <c r="U609" s="508"/>
      <c r="V609" s="508"/>
      <c r="W609" s="508"/>
      <c r="X609" s="508"/>
    </row>
    <row r="610" spans="16:24" s="532" customFormat="1" ht="16.5">
      <c r="P610" s="508"/>
      <c r="Q610" s="508"/>
      <c r="R610" s="508"/>
      <c r="S610" s="508"/>
      <c r="T610" s="508"/>
      <c r="U610" s="508"/>
      <c r="V610" s="508"/>
      <c r="W610" s="508"/>
      <c r="X610" s="508"/>
    </row>
    <row r="611" spans="16:24" s="532" customFormat="1" ht="16.5">
      <c r="P611" s="508"/>
      <c r="Q611" s="508"/>
      <c r="R611" s="508"/>
      <c r="S611" s="508"/>
      <c r="T611" s="508"/>
      <c r="U611" s="508"/>
      <c r="V611" s="508"/>
      <c r="W611" s="508"/>
      <c r="X611" s="508"/>
    </row>
    <row r="612" spans="16:24" s="532" customFormat="1" ht="16.5">
      <c r="P612" s="508"/>
      <c r="Q612" s="508"/>
      <c r="R612" s="508"/>
      <c r="S612" s="508"/>
      <c r="T612" s="508"/>
      <c r="U612" s="508"/>
      <c r="V612" s="508"/>
      <c r="W612" s="508"/>
      <c r="X612" s="508"/>
    </row>
    <row r="613" spans="16:24" s="532" customFormat="1" ht="16.5">
      <c r="P613" s="508"/>
      <c r="Q613" s="508"/>
      <c r="R613" s="508"/>
      <c r="S613" s="508"/>
      <c r="T613" s="508"/>
      <c r="U613" s="508"/>
      <c r="V613" s="508"/>
      <c r="W613" s="508"/>
      <c r="X613" s="508"/>
    </row>
    <row r="614" spans="16:24" s="532" customFormat="1" ht="16.5">
      <c r="P614" s="508"/>
      <c r="Q614" s="508"/>
      <c r="R614" s="508"/>
      <c r="S614" s="508"/>
      <c r="T614" s="508"/>
      <c r="U614" s="508"/>
      <c r="V614" s="508"/>
      <c r="W614" s="508"/>
      <c r="X614" s="508"/>
    </row>
    <row r="615" spans="16:24" s="532" customFormat="1" ht="16.5">
      <c r="P615" s="508"/>
      <c r="Q615" s="508"/>
      <c r="R615" s="508"/>
      <c r="S615" s="508"/>
      <c r="T615" s="508"/>
      <c r="U615" s="508"/>
      <c r="V615" s="508"/>
      <c r="W615" s="508"/>
      <c r="X615" s="508"/>
    </row>
    <row r="616" spans="16:24" s="532" customFormat="1" ht="16.5">
      <c r="P616" s="508"/>
      <c r="Q616" s="508"/>
      <c r="R616" s="508"/>
      <c r="S616" s="508"/>
      <c r="T616" s="508"/>
      <c r="U616" s="508"/>
      <c r="V616" s="508"/>
      <c r="W616" s="508"/>
      <c r="X616" s="508"/>
    </row>
    <row r="617" spans="16:24" s="532" customFormat="1" ht="16.5">
      <c r="P617" s="508"/>
      <c r="Q617" s="508"/>
      <c r="R617" s="508"/>
      <c r="S617" s="508"/>
      <c r="T617" s="508"/>
      <c r="U617" s="508"/>
      <c r="V617" s="508"/>
      <c r="W617" s="508"/>
      <c r="X617" s="508"/>
    </row>
    <row r="618" spans="16:24" s="532" customFormat="1" ht="16.5">
      <c r="P618" s="508"/>
      <c r="Q618" s="508"/>
      <c r="R618" s="508"/>
      <c r="S618" s="508"/>
      <c r="T618" s="508"/>
      <c r="U618" s="508"/>
      <c r="V618" s="508"/>
      <c r="W618" s="508"/>
      <c r="X618" s="508"/>
    </row>
    <row r="619" spans="16:24" s="532" customFormat="1" ht="16.5">
      <c r="P619" s="508"/>
      <c r="Q619" s="508"/>
      <c r="R619" s="508"/>
      <c r="S619" s="508"/>
      <c r="T619" s="508"/>
      <c r="U619" s="508"/>
      <c r="V619" s="508"/>
      <c r="W619" s="508"/>
      <c r="X619" s="508"/>
    </row>
    <row r="620" spans="16:24" s="532" customFormat="1" ht="16.5">
      <c r="P620" s="508"/>
      <c r="Q620" s="508"/>
      <c r="R620" s="508"/>
      <c r="S620" s="508"/>
      <c r="T620" s="508"/>
      <c r="U620" s="508"/>
      <c r="V620" s="508"/>
      <c r="W620" s="508"/>
      <c r="X620" s="508"/>
    </row>
    <row r="621" spans="16:24" s="532" customFormat="1" ht="16.5">
      <c r="P621" s="508"/>
      <c r="Q621" s="508"/>
      <c r="R621" s="508"/>
      <c r="S621" s="508"/>
      <c r="T621" s="508"/>
      <c r="U621" s="508"/>
      <c r="V621" s="508"/>
      <c r="W621" s="508"/>
      <c r="X621" s="508"/>
    </row>
    <row r="622" spans="16:24" s="532" customFormat="1" ht="16.5">
      <c r="P622" s="508"/>
      <c r="Q622" s="508"/>
      <c r="R622" s="508"/>
      <c r="S622" s="508"/>
      <c r="T622" s="508"/>
      <c r="U622" s="508"/>
      <c r="V622" s="508"/>
      <c r="W622" s="508"/>
      <c r="X622" s="508"/>
    </row>
    <row r="623" spans="16:24" s="532" customFormat="1" ht="16.5">
      <c r="P623" s="508"/>
      <c r="Q623" s="508"/>
      <c r="R623" s="508"/>
      <c r="S623" s="508"/>
      <c r="T623" s="508"/>
      <c r="U623" s="508"/>
      <c r="V623" s="508"/>
      <c r="W623" s="508"/>
      <c r="X623" s="508"/>
    </row>
    <row r="624" spans="16:24" s="532" customFormat="1" ht="16.5">
      <c r="P624" s="508"/>
      <c r="Q624" s="508"/>
      <c r="R624" s="508"/>
      <c r="S624" s="508"/>
      <c r="T624" s="508"/>
      <c r="U624" s="508"/>
      <c r="V624" s="508"/>
      <c r="W624" s="508"/>
      <c r="X624" s="508"/>
    </row>
    <row r="625" spans="16:24" s="532" customFormat="1" ht="16.5">
      <c r="P625" s="508"/>
      <c r="Q625" s="508"/>
      <c r="R625" s="508"/>
      <c r="S625" s="508"/>
      <c r="T625" s="508"/>
      <c r="U625" s="508"/>
      <c r="V625" s="508"/>
      <c r="W625" s="508"/>
      <c r="X625" s="508"/>
    </row>
    <row r="626" spans="16:24" s="532" customFormat="1" ht="16.5">
      <c r="P626" s="508"/>
      <c r="Q626" s="508"/>
      <c r="R626" s="508"/>
      <c r="S626" s="508"/>
      <c r="T626" s="508"/>
      <c r="U626" s="508"/>
      <c r="V626" s="508"/>
      <c r="W626" s="508"/>
      <c r="X626" s="508"/>
    </row>
    <row r="627" spans="16:24" s="532" customFormat="1" ht="16.5">
      <c r="P627" s="508"/>
      <c r="Q627" s="508"/>
      <c r="R627" s="508"/>
      <c r="S627" s="508"/>
      <c r="T627" s="508"/>
      <c r="U627" s="508"/>
      <c r="V627" s="508"/>
      <c r="W627" s="508"/>
      <c r="X627" s="508"/>
    </row>
    <row r="628" spans="16:24" s="532" customFormat="1" ht="16.5">
      <c r="P628" s="508"/>
      <c r="Q628" s="508"/>
      <c r="R628" s="508"/>
      <c r="S628" s="508"/>
      <c r="T628" s="508"/>
      <c r="U628" s="508"/>
      <c r="V628" s="508"/>
      <c r="W628" s="508"/>
      <c r="X628" s="508"/>
    </row>
    <row r="629" spans="16:24" s="532" customFormat="1" ht="16.5">
      <c r="P629" s="508"/>
      <c r="Q629" s="508"/>
      <c r="R629" s="508"/>
      <c r="S629" s="508"/>
      <c r="T629" s="508"/>
      <c r="U629" s="508"/>
      <c r="V629" s="508"/>
      <c r="W629" s="508"/>
      <c r="X629" s="508"/>
    </row>
    <row r="630" spans="16:24" s="532" customFormat="1" ht="16.5">
      <c r="P630" s="508"/>
      <c r="Q630" s="508"/>
      <c r="R630" s="508"/>
      <c r="S630" s="508"/>
      <c r="T630" s="508"/>
      <c r="U630" s="508"/>
      <c r="V630" s="508"/>
      <c r="W630" s="508"/>
      <c r="X630" s="508"/>
    </row>
    <row r="631" spans="16:24" s="532" customFormat="1" ht="16.5">
      <c r="P631" s="508"/>
      <c r="Q631" s="508"/>
      <c r="R631" s="508"/>
      <c r="S631" s="508"/>
      <c r="T631" s="508"/>
      <c r="U631" s="508"/>
      <c r="V631" s="508"/>
      <c r="W631" s="508"/>
      <c r="X631" s="508"/>
    </row>
    <row r="632" spans="16:24" s="532" customFormat="1" ht="16.5">
      <c r="P632" s="508"/>
      <c r="Q632" s="508"/>
      <c r="R632" s="508"/>
      <c r="S632" s="508"/>
      <c r="T632" s="508"/>
      <c r="U632" s="508"/>
      <c r="V632" s="508"/>
      <c r="W632" s="508"/>
      <c r="X632" s="508"/>
    </row>
    <row r="633" spans="16:24" s="532" customFormat="1" ht="16.5">
      <c r="P633" s="508"/>
      <c r="Q633" s="508"/>
      <c r="R633" s="508"/>
      <c r="S633" s="508"/>
      <c r="T633" s="508"/>
      <c r="U633" s="508"/>
      <c r="V633" s="508"/>
      <c r="W633" s="508"/>
      <c r="X633" s="508"/>
    </row>
    <row r="634" spans="16:24" s="532" customFormat="1" ht="16.5">
      <c r="P634" s="508"/>
      <c r="Q634" s="508"/>
      <c r="R634" s="508"/>
      <c r="S634" s="508"/>
      <c r="T634" s="508"/>
      <c r="U634" s="508"/>
      <c r="V634" s="508"/>
      <c r="W634" s="508"/>
      <c r="X634" s="508"/>
    </row>
    <row r="635" spans="16:24" s="532" customFormat="1" ht="16.5">
      <c r="P635" s="508"/>
      <c r="Q635" s="508"/>
      <c r="R635" s="508"/>
      <c r="S635" s="508"/>
      <c r="T635" s="508"/>
      <c r="U635" s="508"/>
      <c r="V635" s="508"/>
      <c r="W635" s="508"/>
      <c r="X635" s="508"/>
    </row>
    <row r="636" spans="16:24" s="532" customFormat="1" ht="16.5">
      <c r="P636" s="508"/>
      <c r="Q636" s="508"/>
      <c r="R636" s="508"/>
      <c r="S636" s="508"/>
      <c r="T636" s="508"/>
      <c r="U636" s="508"/>
      <c r="V636" s="508"/>
      <c r="W636" s="508"/>
      <c r="X636" s="508"/>
    </row>
    <row r="637" spans="16:24" s="532" customFormat="1" ht="16.5">
      <c r="P637" s="508"/>
      <c r="Q637" s="508"/>
      <c r="R637" s="508"/>
      <c r="S637" s="508"/>
      <c r="T637" s="508"/>
      <c r="U637" s="508"/>
      <c r="V637" s="508"/>
      <c r="W637" s="508"/>
      <c r="X637" s="508"/>
    </row>
    <row r="638" spans="16:24" s="532" customFormat="1" ht="16.5">
      <c r="P638" s="508"/>
      <c r="Q638" s="508"/>
      <c r="R638" s="508"/>
      <c r="S638" s="508"/>
      <c r="T638" s="508"/>
      <c r="U638" s="508"/>
      <c r="V638" s="508"/>
      <c r="W638" s="508"/>
      <c r="X638" s="508"/>
    </row>
    <row r="639" spans="16:24" s="532" customFormat="1" ht="16.5">
      <c r="P639" s="508"/>
      <c r="Q639" s="508"/>
      <c r="R639" s="508"/>
      <c r="S639" s="508"/>
      <c r="T639" s="508"/>
      <c r="U639" s="508"/>
      <c r="V639" s="508"/>
      <c r="W639" s="508"/>
      <c r="X639" s="508"/>
    </row>
    <row r="640" spans="16:24" s="532" customFormat="1" ht="16.5">
      <c r="P640" s="508"/>
      <c r="Q640" s="508"/>
      <c r="R640" s="508"/>
      <c r="S640" s="508"/>
      <c r="T640" s="508"/>
      <c r="U640" s="508"/>
      <c r="V640" s="508"/>
      <c r="W640" s="508"/>
      <c r="X640" s="508"/>
    </row>
    <row r="641" spans="16:24" s="532" customFormat="1" ht="16.5">
      <c r="P641" s="508"/>
      <c r="Q641" s="508"/>
      <c r="R641" s="508"/>
      <c r="S641" s="508"/>
      <c r="T641" s="508"/>
      <c r="U641" s="508"/>
      <c r="V641" s="508"/>
      <c r="W641" s="508"/>
      <c r="X641" s="508"/>
    </row>
    <row r="642" spans="16:24" s="532" customFormat="1" ht="16.5">
      <c r="P642" s="508"/>
      <c r="Q642" s="508"/>
      <c r="R642" s="508"/>
      <c r="S642" s="508"/>
      <c r="T642" s="508"/>
      <c r="U642" s="508"/>
      <c r="V642" s="508"/>
      <c r="W642" s="508"/>
      <c r="X642" s="508"/>
    </row>
    <row r="643" spans="16:24" s="532" customFormat="1" ht="16.5">
      <c r="P643" s="508"/>
      <c r="Q643" s="508"/>
      <c r="R643" s="508"/>
      <c r="S643" s="508"/>
      <c r="T643" s="508"/>
      <c r="U643" s="508"/>
      <c r="V643" s="508"/>
      <c r="W643" s="508"/>
      <c r="X643" s="508"/>
    </row>
    <row r="644" spans="16:24" s="532" customFormat="1" ht="16.5">
      <c r="P644" s="508"/>
      <c r="Q644" s="508"/>
      <c r="R644" s="508"/>
      <c r="S644" s="508"/>
      <c r="T644" s="508"/>
      <c r="U644" s="508"/>
      <c r="V644" s="508"/>
      <c r="W644" s="508"/>
      <c r="X644" s="508"/>
    </row>
    <row r="645" spans="16:24" s="532" customFormat="1" ht="16.5">
      <c r="P645" s="508"/>
      <c r="Q645" s="508"/>
      <c r="R645" s="508"/>
      <c r="S645" s="508"/>
      <c r="T645" s="508"/>
      <c r="U645" s="508"/>
      <c r="V645" s="508"/>
      <c r="W645" s="508"/>
      <c r="X645" s="508"/>
    </row>
    <row r="646" spans="16:24" s="532" customFormat="1" ht="16.5">
      <c r="P646" s="508"/>
      <c r="Q646" s="508"/>
      <c r="R646" s="508"/>
      <c r="S646" s="508"/>
      <c r="T646" s="508"/>
      <c r="U646" s="508"/>
      <c r="V646" s="508"/>
      <c r="W646" s="508"/>
      <c r="X646" s="508"/>
    </row>
    <row r="647" spans="16:24" s="532" customFormat="1" ht="16.5">
      <c r="P647" s="508"/>
      <c r="Q647" s="508"/>
      <c r="R647" s="508"/>
      <c r="S647" s="508"/>
      <c r="T647" s="508"/>
      <c r="U647" s="508"/>
      <c r="V647" s="508"/>
      <c r="W647" s="508"/>
      <c r="X647" s="508"/>
    </row>
    <row r="648" spans="16:24" s="532" customFormat="1" ht="16.5">
      <c r="P648" s="508"/>
      <c r="Q648" s="508"/>
      <c r="R648" s="508"/>
      <c r="S648" s="508"/>
      <c r="T648" s="508"/>
      <c r="U648" s="508"/>
      <c r="V648" s="508"/>
      <c r="W648" s="508"/>
      <c r="X648" s="508"/>
    </row>
    <row r="649" spans="16:24" s="532" customFormat="1" ht="16.5">
      <c r="P649" s="508"/>
      <c r="Q649" s="508"/>
      <c r="R649" s="508"/>
      <c r="S649" s="508"/>
      <c r="T649" s="508"/>
      <c r="U649" s="508"/>
      <c r="V649" s="508"/>
      <c r="W649" s="508"/>
      <c r="X649" s="508"/>
    </row>
    <row r="650" spans="16:24" s="532" customFormat="1" ht="16.5">
      <c r="P650" s="508"/>
      <c r="Q650" s="508"/>
      <c r="R650" s="508"/>
      <c r="S650" s="508"/>
      <c r="T650" s="508"/>
      <c r="U650" s="508"/>
      <c r="V650" s="508"/>
      <c r="W650" s="508"/>
      <c r="X650" s="508"/>
    </row>
    <row r="651" spans="16:24" s="532" customFormat="1" ht="16.5">
      <c r="P651" s="508"/>
      <c r="Q651" s="508"/>
      <c r="R651" s="508"/>
      <c r="S651" s="508"/>
      <c r="T651" s="508"/>
      <c r="U651" s="508"/>
      <c r="V651" s="508"/>
      <c r="W651" s="508"/>
      <c r="X651" s="508"/>
    </row>
    <row r="652" spans="16:24" s="532" customFormat="1" ht="16.5">
      <c r="P652" s="508"/>
      <c r="Q652" s="508"/>
      <c r="R652" s="508"/>
      <c r="S652" s="508"/>
      <c r="T652" s="508"/>
      <c r="U652" s="508"/>
      <c r="V652" s="508"/>
      <c r="W652" s="508"/>
      <c r="X652" s="508"/>
    </row>
    <row r="653" spans="16:24" s="532" customFormat="1" ht="16.5">
      <c r="P653" s="508"/>
      <c r="Q653" s="508"/>
      <c r="R653" s="508"/>
      <c r="S653" s="508"/>
      <c r="T653" s="508"/>
      <c r="U653" s="508"/>
      <c r="V653" s="508"/>
      <c r="W653" s="508"/>
      <c r="X653" s="508"/>
    </row>
    <row r="654" spans="16:24" s="532" customFormat="1" ht="16.5">
      <c r="P654" s="508"/>
      <c r="Q654" s="508"/>
      <c r="R654" s="508"/>
      <c r="S654" s="508"/>
      <c r="T654" s="508"/>
      <c r="U654" s="508"/>
      <c r="V654" s="508"/>
      <c r="W654" s="508"/>
      <c r="X654" s="508"/>
    </row>
    <row r="655" spans="16:24" s="532" customFormat="1" ht="16.5">
      <c r="P655" s="508"/>
      <c r="Q655" s="508"/>
      <c r="R655" s="508"/>
      <c r="S655" s="508"/>
      <c r="T655" s="508"/>
      <c r="U655" s="508"/>
      <c r="V655" s="508"/>
      <c r="W655" s="508"/>
      <c r="X655" s="508"/>
    </row>
    <row r="656" spans="16:24" s="532" customFormat="1" ht="16.5">
      <c r="P656" s="508"/>
      <c r="Q656" s="508"/>
      <c r="R656" s="508"/>
      <c r="S656" s="508"/>
      <c r="T656" s="508"/>
      <c r="U656" s="508"/>
      <c r="V656" s="508"/>
      <c r="W656" s="508"/>
      <c r="X656" s="508"/>
    </row>
    <row r="657" spans="16:24" s="532" customFormat="1" ht="16.5">
      <c r="P657" s="508"/>
      <c r="Q657" s="508"/>
      <c r="R657" s="508"/>
      <c r="S657" s="508"/>
      <c r="T657" s="508"/>
      <c r="U657" s="508"/>
      <c r="V657" s="508"/>
      <c r="W657" s="508"/>
      <c r="X657" s="508"/>
    </row>
    <row r="658" spans="16:24" s="532" customFormat="1" ht="16.5">
      <c r="P658" s="508"/>
      <c r="Q658" s="508"/>
      <c r="R658" s="508"/>
      <c r="S658" s="508"/>
      <c r="T658" s="508"/>
      <c r="U658" s="508"/>
      <c r="V658" s="508"/>
      <c r="W658" s="508"/>
      <c r="X658" s="508"/>
    </row>
    <row r="659" spans="16:24" s="532" customFormat="1" ht="16.5">
      <c r="P659" s="508"/>
      <c r="Q659" s="508"/>
      <c r="R659" s="508"/>
      <c r="S659" s="508"/>
      <c r="T659" s="508"/>
      <c r="U659" s="508"/>
      <c r="V659" s="508"/>
      <c r="W659" s="508"/>
      <c r="X659" s="508"/>
    </row>
    <row r="660" spans="16:24" s="532" customFormat="1" ht="16.5">
      <c r="P660" s="508"/>
      <c r="Q660" s="508"/>
      <c r="R660" s="508"/>
      <c r="S660" s="508"/>
      <c r="T660" s="508"/>
      <c r="U660" s="508"/>
      <c r="V660" s="508"/>
      <c r="W660" s="508"/>
      <c r="X660" s="508"/>
    </row>
    <row r="661" spans="16:24" s="532" customFormat="1" ht="16.5">
      <c r="P661" s="508"/>
      <c r="Q661" s="508"/>
      <c r="R661" s="508"/>
      <c r="S661" s="508"/>
      <c r="T661" s="508"/>
      <c r="U661" s="508"/>
      <c r="V661" s="508"/>
      <c r="W661" s="508"/>
      <c r="X661" s="508"/>
    </row>
    <row r="662" spans="16:24" s="532" customFormat="1" ht="16.5">
      <c r="P662" s="508"/>
      <c r="Q662" s="508"/>
      <c r="R662" s="508"/>
      <c r="S662" s="508"/>
      <c r="T662" s="508"/>
      <c r="U662" s="508"/>
      <c r="V662" s="508"/>
      <c r="W662" s="508"/>
      <c r="X662" s="508"/>
    </row>
    <row r="663" spans="16:24" s="532" customFormat="1" ht="16.5">
      <c r="P663" s="508"/>
      <c r="Q663" s="508"/>
      <c r="R663" s="508"/>
      <c r="S663" s="508"/>
      <c r="T663" s="508"/>
      <c r="U663" s="508"/>
      <c r="V663" s="508"/>
      <c r="W663" s="508"/>
      <c r="X663" s="508"/>
    </row>
    <row r="664" spans="16:24" s="532" customFormat="1" ht="16.5">
      <c r="P664" s="508"/>
      <c r="Q664" s="508"/>
      <c r="R664" s="508"/>
      <c r="S664" s="508"/>
      <c r="T664" s="508"/>
      <c r="U664" s="508"/>
      <c r="V664" s="508"/>
      <c r="W664" s="508"/>
      <c r="X664" s="508"/>
    </row>
    <row r="665" spans="16:24" s="532" customFormat="1" ht="16.5">
      <c r="P665" s="508"/>
      <c r="Q665" s="508"/>
      <c r="R665" s="508"/>
      <c r="S665" s="508"/>
      <c r="T665" s="508"/>
      <c r="U665" s="508"/>
      <c r="V665" s="508"/>
      <c r="W665" s="508"/>
      <c r="X665" s="508"/>
    </row>
    <row r="666" spans="16:24" s="532" customFormat="1" ht="16.5">
      <c r="P666" s="508"/>
      <c r="Q666" s="508"/>
      <c r="R666" s="508"/>
      <c r="S666" s="508"/>
      <c r="T666" s="508"/>
      <c r="U666" s="508"/>
      <c r="V666" s="508"/>
      <c r="W666" s="508"/>
      <c r="X666" s="508"/>
    </row>
    <row r="667" spans="16:24" s="532" customFormat="1" ht="16.5">
      <c r="P667" s="508"/>
      <c r="Q667" s="508"/>
      <c r="R667" s="508"/>
      <c r="S667" s="508"/>
      <c r="T667" s="508"/>
      <c r="U667" s="508"/>
      <c r="V667" s="508"/>
      <c r="W667" s="508"/>
      <c r="X667" s="508"/>
    </row>
    <row r="668" spans="16:24" s="532" customFormat="1" ht="16.5">
      <c r="P668" s="508"/>
      <c r="Q668" s="508"/>
      <c r="R668" s="508"/>
      <c r="S668" s="508"/>
      <c r="T668" s="508"/>
      <c r="U668" s="508"/>
      <c r="V668" s="508"/>
      <c r="W668" s="508"/>
      <c r="X668" s="508"/>
    </row>
    <row r="669" spans="16:24" s="532" customFormat="1" ht="16.5">
      <c r="P669" s="508"/>
      <c r="Q669" s="508"/>
      <c r="R669" s="508"/>
      <c r="S669" s="508"/>
      <c r="T669" s="508"/>
      <c r="U669" s="508"/>
      <c r="V669" s="508"/>
      <c r="W669" s="508"/>
      <c r="X669" s="508"/>
    </row>
    <row r="670" spans="16:24" s="532" customFormat="1" ht="16.5">
      <c r="P670" s="508"/>
      <c r="Q670" s="508"/>
      <c r="R670" s="508"/>
      <c r="S670" s="508"/>
      <c r="T670" s="508"/>
      <c r="U670" s="508"/>
      <c r="V670" s="508"/>
      <c r="W670" s="508"/>
      <c r="X670" s="508"/>
    </row>
    <row r="671" spans="16:24" s="532" customFormat="1" ht="16.5">
      <c r="P671" s="508"/>
      <c r="Q671" s="508"/>
      <c r="R671" s="508"/>
      <c r="S671" s="508"/>
      <c r="T671" s="508"/>
      <c r="U671" s="508"/>
      <c r="V671" s="508"/>
      <c r="W671" s="508"/>
      <c r="X671" s="508"/>
    </row>
    <row r="672" spans="16:24" s="532" customFormat="1" ht="16.5">
      <c r="P672" s="508"/>
      <c r="Q672" s="508"/>
      <c r="R672" s="508"/>
      <c r="S672" s="508"/>
      <c r="T672" s="508"/>
      <c r="U672" s="508"/>
      <c r="V672" s="508"/>
      <c r="W672" s="508"/>
      <c r="X672" s="508"/>
    </row>
    <row r="673" spans="16:24" s="532" customFormat="1" ht="16.5">
      <c r="P673" s="508"/>
      <c r="Q673" s="508"/>
      <c r="R673" s="508"/>
      <c r="S673" s="508"/>
      <c r="T673" s="508"/>
      <c r="U673" s="508"/>
      <c r="V673" s="508"/>
      <c r="W673" s="508"/>
      <c r="X673" s="508"/>
    </row>
    <row r="674" spans="16:24" s="532" customFormat="1" ht="16.5">
      <c r="P674" s="508"/>
      <c r="Q674" s="508"/>
      <c r="R674" s="508"/>
      <c r="S674" s="508"/>
      <c r="T674" s="508"/>
      <c r="U674" s="508"/>
      <c r="V674" s="508"/>
      <c r="W674" s="508"/>
      <c r="X674" s="508"/>
    </row>
    <row r="675" spans="16:24" s="532" customFormat="1" ht="16.5">
      <c r="P675" s="508"/>
      <c r="Q675" s="508"/>
      <c r="R675" s="508"/>
      <c r="S675" s="508"/>
      <c r="T675" s="508"/>
      <c r="U675" s="508"/>
      <c r="V675" s="508"/>
      <c r="W675" s="508"/>
      <c r="X675" s="508"/>
    </row>
    <row r="676" spans="16:24" s="532" customFormat="1" ht="16.5">
      <c r="P676" s="508"/>
      <c r="Q676" s="508"/>
      <c r="R676" s="508"/>
      <c r="S676" s="508"/>
      <c r="T676" s="508"/>
      <c r="U676" s="508"/>
      <c r="V676" s="508"/>
      <c r="W676" s="508"/>
      <c r="X676" s="508"/>
    </row>
    <row r="677" spans="16:24" s="532" customFormat="1" ht="16.5">
      <c r="P677" s="508"/>
      <c r="Q677" s="508"/>
      <c r="R677" s="508"/>
      <c r="S677" s="508"/>
      <c r="T677" s="508"/>
      <c r="U677" s="508"/>
      <c r="V677" s="508"/>
      <c r="W677" s="508"/>
      <c r="X677" s="508"/>
    </row>
    <row r="678" spans="16:24" s="532" customFormat="1" ht="16.5">
      <c r="P678" s="508"/>
      <c r="Q678" s="508"/>
      <c r="R678" s="508"/>
      <c r="S678" s="508"/>
      <c r="T678" s="508"/>
      <c r="U678" s="508"/>
      <c r="V678" s="508"/>
      <c r="W678" s="508"/>
      <c r="X678" s="508"/>
    </row>
    <row r="679" spans="16:24" s="532" customFormat="1" ht="16.5">
      <c r="P679" s="508"/>
      <c r="Q679" s="508"/>
      <c r="R679" s="508"/>
      <c r="S679" s="508"/>
      <c r="T679" s="508"/>
      <c r="U679" s="508"/>
      <c r="V679" s="508"/>
      <c r="W679" s="508"/>
      <c r="X679" s="508"/>
    </row>
    <row r="680" spans="16:24" s="532" customFormat="1" ht="16.5">
      <c r="P680" s="508"/>
      <c r="Q680" s="508"/>
      <c r="R680" s="508"/>
      <c r="S680" s="508"/>
      <c r="T680" s="508"/>
      <c r="U680" s="508"/>
      <c r="V680" s="508"/>
      <c r="W680" s="508"/>
      <c r="X680" s="508"/>
    </row>
    <row r="681" spans="16:24" s="532" customFormat="1" ht="16.5">
      <c r="P681" s="508"/>
      <c r="Q681" s="508"/>
      <c r="R681" s="508"/>
      <c r="S681" s="508"/>
      <c r="T681" s="508"/>
      <c r="U681" s="508"/>
      <c r="V681" s="508"/>
      <c r="W681" s="508"/>
      <c r="X681" s="508"/>
    </row>
    <row r="682" spans="16:24" s="532" customFormat="1" ht="16.5">
      <c r="P682" s="508"/>
      <c r="Q682" s="508"/>
      <c r="R682" s="508"/>
      <c r="S682" s="508"/>
      <c r="T682" s="508"/>
      <c r="U682" s="508"/>
      <c r="V682" s="508"/>
      <c r="W682" s="508"/>
      <c r="X682" s="508"/>
    </row>
    <row r="683" spans="16:24" s="532" customFormat="1" ht="16.5">
      <c r="P683" s="508"/>
      <c r="Q683" s="508"/>
      <c r="R683" s="508"/>
      <c r="S683" s="508"/>
      <c r="T683" s="508"/>
      <c r="U683" s="508"/>
      <c r="V683" s="508"/>
      <c r="W683" s="508"/>
      <c r="X683" s="508"/>
    </row>
    <row r="684" spans="16:24" s="532" customFormat="1" ht="16.5">
      <c r="P684" s="508"/>
      <c r="Q684" s="508"/>
      <c r="R684" s="508"/>
      <c r="S684" s="508"/>
      <c r="T684" s="508"/>
      <c r="U684" s="508"/>
      <c r="V684" s="508"/>
      <c r="W684" s="508"/>
      <c r="X684" s="508"/>
    </row>
    <row r="685" spans="16:24" s="532" customFormat="1" ht="16.5">
      <c r="P685" s="508"/>
      <c r="Q685" s="508"/>
      <c r="R685" s="508"/>
      <c r="S685" s="508"/>
      <c r="T685" s="508"/>
      <c r="U685" s="508"/>
      <c r="V685" s="508"/>
      <c r="W685" s="508"/>
      <c r="X685" s="508"/>
    </row>
    <row r="686" spans="16:24" s="532" customFormat="1" ht="16.5">
      <c r="P686" s="508"/>
      <c r="Q686" s="508"/>
      <c r="R686" s="508"/>
      <c r="S686" s="508"/>
      <c r="T686" s="508"/>
      <c r="U686" s="508"/>
      <c r="V686" s="508"/>
      <c r="W686" s="508"/>
      <c r="X686" s="508"/>
    </row>
    <row r="687" spans="16:24" s="532" customFormat="1" ht="16.5">
      <c r="P687" s="508"/>
      <c r="Q687" s="508"/>
      <c r="R687" s="508"/>
      <c r="S687" s="508"/>
      <c r="T687" s="508"/>
      <c r="U687" s="508"/>
      <c r="V687" s="508"/>
      <c r="W687" s="508"/>
      <c r="X687" s="508"/>
    </row>
    <row r="688" spans="16:24" s="532" customFormat="1" ht="16.5">
      <c r="P688" s="508"/>
      <c r="Q688" s="508"/>
      <c r="R688" s="508"/>
      <c r="S688" s="508"/>
      <c r="T688" s="508"/>
      <c r="U688" s="508"/>
      <c r="V688" s="508"/>
      <c r="W688" s="508"/>
      <c r="X688" s="508"/>
    </row>
    <row r="689" spans="16:24" s="532" customFormat="1" ht="16.5">
      <c r="P689" s="508"/>
      <c r="Q689" s="508"/>
      <c r="R689" s="508"/>
      <c r="S689" s="508"/>
      <c r="T689" s="508"/>
      <c r="U689" s="508"/>
      <c r="V689" s="508"/>
      <c r="W689" s="508"/>
      <c r="X689" s="508"/>
    </row>
    <row r="690" spans="16:24" s="532" customFormat="1" ht="16.5">
      <c r="P690" s="508"/>
      <c r="Q690" s="508"/>
      <c r="R690" s="508"/>
      <c r="S690" s="508"/>
      <c r="T690" s="508"/>
      <c r="U690" s="508"/>
      <c r="V690" s="508"/>
      <c r="W690" s="508"/>
      <c r="X690" s="508"/>
    </row>
    <row r="691" spans="16:24" s="532" customFormat="1" ht="16.5">
      <c r="P691" s="508"/>
      <c r="Q691" s="508"/>
      <c r="R691" s="508"/>
      <c r="S691" s="508"/>
      <c r="T691" s="508"/>
      <c r="U691" s="508"/>
      <c r="V691" s="508"/>
      <c r="W691" s="508"/>
      <c r="X691" s="508"/>
    </row>
    <row r="692" spans="16:24" s="532" customFormat="1" ht="16.5">
      <c r="P692" s="508"/>
      <c r="Q692" s="508"/>
      <c r="R692" s="508"/>
      <c r="S692" s="508"/>
      <c r="T692" s="508"/>
      <c r="U692" s="508"/>
      <c r="V692" s="508"/>
      <c r="W692" s="508"/>
      <c r="X692" s="508"/>
    </row>
    <row r="693" spans="16:24" s="532" customFormat="1" ht="16.5">
      <c r="P693" s="508"/>
      <c r="Q693" s="508"/>
      <c r="R693" s="508"/>
      <c r="S693" s="508"/>
      <c r="T693" s="508"/>
      <c r="U693" s="508"/>
      <c r="V693" s="508"/>
      <c r="W693" s="508"/>
      <c r="X693" s="508"/>
    </row>
    <row r="694" spans="16:24" s="532" customFormat="1" ht="16.5">
      <c r="P694" s="508"/>
      <c r="Q694" s="508"/>
      <c r="R694" s="508"/>
      <c r="S694" s="508"/>
      <c r="T694" s="508"/>
      <c r="U694" s="508"/>
      <c r="V694" s="508"/>
      <c r="W694" s="508"/>
      <c r="X694" s="508"/>
    </row>
    <row r="695" spans="16:24" s="532" customFormat="1" ht="16.5">
      <c r="P695" s="508"/>
      <c r="Q695" s="508"/>
      <c r="R695" s="508"/>
      <c r="S695" s="508"/>
      <c r="T695" s="508"/>
      <c r="U695" s="508"/>
      <c r="V695" s="508"/>
      <c r="W695" s="508"/>
      <c r="X695" s="508"/>
    </row>
    <row r="696" spans="16:24" s="532" customFormat="1" ht="16.5">
      <c r="P696" s="508"/>
      <c r="Q696" s="508"/>
      <c r="R696" s="508"/>
      <c r="S696" s="508"/>
      <c r="T696" s="508"/>
      <c r="U696" s="508"/>
      <c r="V696" s="508"/>
      <c r="W696" s="508"/>
      <c r="X696" s="508"/>
    </row>
    <row r="697" spans="16:24" s="532" customFormat="1" ht="16.5">
      <c r="P697" s="508"/>
      <c r="Q697" s="508"/>
      <c r="R697" s="508"/>
      <c r="S697" s="508"/>
      <c r="T697" s="508"/>
      <c r="U697" s="508"/>
      <c r="V697" s="508"/>
      <c r="W697" s="508"/>
      <c r="X697" s="508"/>
    </row>
    <row r="698" spans="16:24" s="532" customFormat="1" ht="16.5">
      <c r="P698" s="508"/>
      <c r="Q698" s="508"/>
      <c r="R698" s="508"/>
      <c r="S698" s="508"/>
      <c r="T698" s="508"/>
      <c r="U698" s="508"/>
      <c r="V698" s="508"/>
      <c r="W698" s="508"/>
      <c r="X698" s="508"/>
    </row>
    <row r="699" spans="16:24" s="532" customFormat="1" ht="16.5">
      <c r="P699" s="508"/>
      <c r="Q699" s="508"/>
      <c r="R699" s="508"/>
      <c r="S699" s="508"/>
      <c r="T699" s="508"/>
      <c r="U699" s="508"/>
      <c r="V699" s="508"/>
      <c r="W699" s="508"/>
      <c r="X699" s="508"/>
    </row>
    <row r="700" spans="16:24" s="532" customFormat="1" ht="16.5">
      <c r="P700" s="508"/>
      <c r="Q700" s="508"/>
      <c r="R700" s="508"/>
      <c r="S700" s="508"/>
      <c r="T700" s="508"/>
      <c r="U700" s="508"/>
      <c r="V700" s="508"/>
      <c r="W700" s="508"/>
      <c r="X700" s="508"/>
    </row>
    <row r="701" spans="16:24" s="532" customFormat="1" ht="16.5">
      <c r="P701" s="508"/>
      <c r="Q701" s="508"/>
      <c r="R701" s="508"/>
      <c r="S701" s="508"/>
      <c r="T701" s="508"/>
      <c r="U701" s="508"/>
      <c r="V701" s="508"/>
      <c r="W701" s="508"/>
      <c r="X701" s="508"/>
    </row>
    <row r="702" spans="16:24" s="532" customFormat="1" ht="16.5">
      <c r="P702" s="508"/>
      <c r="Q702" s="508"/>
      <c r="R702" s="508"/>
      <c r="S702" s="508"/>
      <c r="T702" s="508"/>
      <c r="U702" s="508"/>
      <c r="V702" s="508"/>
      <c r="W702" s="508"/>
      <c r="X702" s="508"/>
    </row>
    <row r="703" spans="16:24" s="532" customFormat="1" ht="16.5">
      <c r="P703" s="508"/>
      <c r="Q703" s="508"/>
      <c r="R703" s="508"/>
      <c r="S703" s="508"/>
      <c r="T703" s="508"/>
      <c r="U703" s="508"/>
      <c r="V703" s="508"/>
      <c r="W703" s="508"/>
      <c r="X703" s="508"/>
    </row>
    <row r="704" spans="16:24" s="532" customFormat="1" ht="16.5">
      <c r="P704" s="508"/>
      <c r="Q704" s="508"/>
      <c r="R704" s="508"/>
      <c r="S704" s="508"/>
      <c r="T704" s="508"/>
      <c r="U704" s="508"/>
      <c r="V704" s="508"/>
      <c r="W704" s="508"/>
      <c r="X704" s="508"/>
    </row>
    <row r="705" spans="16:24" s="532" customFormat="1" ht="16.5">
      <c r="P705" s="508"/>
      <c r="Q705" s="508"/>
      <c r="R705" s="508"/>
      <c r="S705" s="508"/>
      <c r="T705" s="508"/>
      <c r="U705" s="508"/>
      <c r="V705" s="508"/>
      <c r="W705" s="508"/>
      <c r="X705" s="508"/>
    </row>
    <row r="706" spans="16:24" s="532" customFormat="1" ht="16.5">
      <c r="P706" s="508"/>
      <c r="Q706" s="508"/>
      <c r="R706" s="508"/>
      <c r="S706" s="508"/>
      <c r="T706" s="508"/>
      <c r="U706" s="508"/>
      <c r="V706" s="508"/>
      <c r="W706" s="508"/>
      <c r="X706" s="508"/>
    </row>
    <row r="707" spans="16:24" s="532" customFormat="1" ht="16.5">
      <c r="P707" s="508"/>
      <c r="Q707" s="508"/>
      <c r="R707" s="508"/>
      <c r="S707" s="508"/>
      <c r="T707" s="508"/>
      <c r="U707" s="508"/>
      <c r="V707" s="508"/>
      <c r="W707" s="508"/>
      <c r="X707" s="508"/>
    </row>
    <row r="708" spans="16:24" s="532" customFormat="1" ht="16.5">
      <c r="P708" s="508"/>
      <c r="Q708" s="508"/>
      <c r="R708" s="508"/>
      <c r="S708" s="508"/>
      <c r="T708" s="508"/>
      <c r="U708" s="508"/>
      <c r="V708" s="508"/>
      <c r="W708" s="508"/>
      <c r="X708" s="508"/>
    </row>
    <row r="709" spans="16:24" s="532" customFormat="1" ht="16.5">
      <c r="P709" s="508"/>
      <c r="Q709" s="508"/>
      <c r="R709" s="508"/>
      <c r="S709" s="508"/>
      <c r="T709" s="508"/>
      <c r="U709" s="508"/>
      <c r="V709" s="508"/>
      <c r="W709" s="508"/>
      <c r="X709" s="508"/>
    </row>
    <row r="710" spans="16:24" s="532" customFormat="1" ht="16.5">
      <c r="P710" s="508"/>
      <c r="Q710" s="508"/>
      <c r="R710" s="508"/>
      <c r="S710" s="508"/>
      <c r="T710" s="508"/>
      <c r="U710" s="508"/>
      <c r="V710" s="508"/>
      <c r="W710" s="508"/>
      <c r="X710" s="508"/>
    </row>
    <row r="711" spans="16:24" s="532" customFormat="1" ht="16.5">
      <c r="P711" s="508"/>
      <c r="Q711" s="508"/>
      <c r="R711" s="508"/>
      <c r="S711" s="508"/>
      <c r="T711" s="508"/>
      <c r="U711" s="508"/>
      <c r="V711" s="508"/>
      <c r="W711" s="508"/>
      <c r="X711" s="508"/>
    </row>
    <row r="712" spans="16:24" s="532" customFormat="1" ht="16.5">
      <c r="P712" s="508"/>
      <c r="Q712" s="508"/>
      <c r="R712" s="508"/>
      <c r="S712" s="508"/>
      <c r="T712" s="508"/>
      <c r="U712" s="508"/>
      <c r="V712" s="508"/>
      <c r="W712" s="508"/>
      <c r="X712" s="508"/>
    </row>
    <row r="713" spans="16:24" s="532" customFormat="1" ht="16.5">
      <c r="P713" s="508"/>
      <c r="Q713" s="508"/>
      <c r="R713" s="508"/>
      <c r="S713" s="508"/>
      <c r="T713" s="508"/>
      <c r="U713" s="508"/>
      <c r="V713" s="508"/>
      <c r="W713" s="508"/>
      <c r="X713" s="508"/>
    </row>
    <row r="714" spans="16:24" s="532" customFormat="1" ht="16.5">
      <c r="P714" s="508"/>
      <c r="Q714" s="508"/>
      <c r="R714" s="508"/>
      <c r="S714" s="508"/>
      <c r="T714" s="508"/>
      <c r="U714" s="508"/>
      <c r="V714" s="508"/>
      <c r="W714" s="508"/>
      <c r="X714" s="508"/>
    </row>
    <row r="715" spans="16:24" s="532" customFormat="1" ht="16.5">
      <c r="P715" s="508"/>
      <c r="Q715" s="508"/>
      <c r="R715" s="508"/>
      <c r="S715" s="508"/>
      <c r="T715" s="508"/>
      <c r="U715" s="508"/>
      <c r="V715" s="508"/>
      <c r="W715" s="508"/>
      <c r="X715" s="508"/>
    </row>
    <row r="716" spans="16:24" s="532" customFormat="1" ht="16.5">
      <c r="P716" s="508"/>
      <c r="Q716" s="508"/>
      <c r="R716" s="508"/>
      <c r="S716" s="508"/>
      <c r="T716" s="508"/>
      <c r="U716" s="508"/>
      <c r="V716" s="508"/>
      <c r="W716" s="508"/>
      <c r="X716" s="508"/>
    </row>
    <row r="717" spans="16:24" s="532" customFormat="1" ht="16.5">
      <c r="P717" s="508"/>
      <c r="Q717" s="508"/>
      <c r="R717" s="508"/>
      <c r="S717" s="508"/>
      <c r="T717" s="508"/>
      <c r="U717" s="508"/>
      <c r="V717" s="508"/>
      <c r="W717" s="508"/>
      <c r="X717" s="508"/>
    </row>
    <row r="718" spans="16:24" s="532" customFormat="1" ht="16.5">
      <c r="P718" s="508"/>
      <c r="Q718" s="508"/>
      <c r="R718" s="508"/>
      <c r="S718" s="508"/>
      <c r="T718" s="508"/>
      <c r="U718" s="508"/>
      <c r="V718" s="508"/>
      <c r="W718" s="508"/>
      <c r="X718" s="508"/>
    </row>
    <row r="719" spans="16:24" s="532" customFormat="1" ht="16.5">
      <c r="P719" s="508"/>
      <c r="Q719" s="508"/>
      <c r="R719" s="508"/>
      <c r="S719" s="508"/>
      <c r="T719" s="508"/>
      <c r="U719" s="508"/>
      <c r="V719" s="508"/>
      <c r="W719" s="508"/>
      <c r="X719" s="508"/>
    </row>
    <row r="720" spans="16:24" s="532" customFormat="1" ht="16.5">
      <c r="P720" s="508"/>
      <c r="Q720" s="508"/>
      <c r="R720" s="508"/>
      <c r="S720" s="508"/>
      <c r="T720" s="508"/>
      <c r="U720" s="508"/>
      <c r="V720" s="508"/>
      <c r="W720" s="508"/>
      <c r="X720" s="508"/>
    </row>
    <row r="721" spans="16:24" s="532" customFormat="1" ht="16.5">
      <c r="P721" s="508"/>
      <c r="Q721" s="508"/>
      <c r="R721" s="508"/>
      <c r="S721" s="508"/>
      <c r="T721" s="508"/>
      <c r="U721" s="508"/>
      <c r="V721" s="508"/>
      <c r="W721" s="508"/>
      <c r="X721" s="508"/>
    </row>
    <row r="722" spans="16:24" s="532" customFormat="1" ht="16.5">
      <c r="P722" s="508"/>
      <c r="Q722" s="508"/>
      <c r="R722" s="508"/>
      <c r="S722" s="508"/>
      <c r="T722" s="508"/>
      <c r="U722" s="508"/>
      <c r="V722" s="508"/>
      <c r="W722" s="508"/>
      <c r="X722" s="508"/>
    </row>
    <row r="723" spans="16:24" s="532" customFormat="1" ht="16.5">
      <c r="P723" s="508"/>
      <c r="Q723" s="508"/>
      <c r="R723" s="508"/>
      <c r="S723" s="508"/>
      <c r="T723" s="508"/>
      <c r="U723" s="508"/>
      <c r="V723" s="508"/>
      <c r="W723" s="508"/>
      <c r="X723" s="508"/>
    </row>
    <row r="724" spans="16:24" s="532" customFormat="1" ht="16.5">
      <c r="P724" s="508"/>
      <c r="Q724" s="508"/>
      <c r="R724" s="508"/>
      <c r="S724" s="508"/>
      <c r="T724" s="508"/>
      <c r="U724" s="508"/>
      <c r="V724" s="508"/>
      <c r="W724" s="508"/>
      <c r="X724" s="508"/>
    </row>
    <row r="725" spans="16:24" s="532" customFormat="1" ht="16.5">
      <c r="P725" s="508"/>
      <c r="Q725" s="508"/>
      <c r="R725" s="508"/>
      <c r="S725" s="508"/>
      <c r="T725" s="508"/>
      <c r="U725" s="508"/>
      <c r="V725" s="508"/>
      <c r="W725" s="508"/>
      <c r="X725" s="508"/>
    </row>
    <row r="726" spans="16:24" s="532" customFormat="1" ht="16.5">
      <c r="P726" s="508"/>
      <c r="Q726" s="508"/>
      <c r="R726" s="508"/>
      <c r="S726" s="508"/>
      <c r="T726" s="508"/>
      <c r="U726" s="508"/>
      <c r="V726" s="508"/>
      <c r="W726" s="508"/>
      <c r="X726" s="508"/>
    </row>
    <row r="727" spans="16:24" s="532" customFormat="1" ht="16.5">
      <c r="P727" s="508"/>
      <c r="Q727" s="508"/>
      <c r="R727" s="508"/>
      <c r="S727" s="508"/>
      <c r="T727" s="508"/>
      <c r="U727" s="508"/>
      <c r="V727" s="508"/>
      <c r="W727" s="508"/>
      <c r="X727" s="508"/>
    </row>
    <row r="728" spans="16:24" s="532" customFormat="1" ht="16.5">
      <c r="P728" s="508"/>
      <c r="Q728" s="508"/>
      <c r="R728" s="508"/>
      <c r="S728" s="508"/>
      <c r="T728" s="508"/>
      <c r="U728" s="508"/>
      <c r="V728" s="508"/>
      <c r="W728" s="508"/>
      <c r="X728" s="508"/>
    </row>
    <row r="729" spans="16:24" s="532" customFormat="1" ht="16.5">
      <c r="P729" s="508"/>
      <c r="Q729" s="508"/>
      <c r="R729" s="508"/>
      <c r="S729" s="508"/>
      <c r="T729" s="508"/>
      <c r="U729" s="508"/>
      <c r="V729" s="508"/>
      <c r="W729" s="508"/>
      <c r="X729" s="508"/>
    </row>
    <row r="730" spans="16:24" s="532" customFormat="1" ht="16.5">
      <c r="P730" s="508"/>
      <c r="Q730" s="508"/>
      <c r="R730" s="508"/>
      <c r="S730" s="508"/>
      <c r="T730" s="508"/>
      <c r="U730" s="508"/>
      <c r="V730" s="508"/>
      <c r="W730" s="508"/>
      <c r="X730" s="508"/>
    </row>
    <row r="731" spans="16:24" s="532" customFormat="1" ht="16.5">
      <c r="P731" s="508"/>
      <c r="Q731" s="508"/>
      <c r="R731" s="508"/>
      <c r="S731" s="508"/>
      <c r="T731" s="508"/>
      <c r="U731" s="508"/>
      <c r="V731" s="508"/>
      <c r="W731" s="508"/>
      <c r="X731" s="508"/>
    </row>
    <row r="732" spans="16:24" s="532" customFormat="1" ht="16.5">
      <c r="P732" s="508"/>
      <c r="Q732" s="508"/>
      <c r="R732" s="508"/>
      <c r="S732" s="508"/>
      <c r="T732" s="508"/>
      <c r="U732" s="508"/>
      <c r="V732" s="508"/>
      <c r="W732" s="508"/>
      <c r="X732" s="508"/>
    </row>
    <row r="733" spans="16:24" s="532" customFormat="1" ht="16.5">
      <c r="P733" s="508"/>
      <c r="Q733" s="508"/>
      <c r="R733" s="508"/>
      <c r="S733" s="508"/>
      <c r="T733" s="508"/>
      <c r="U733" s="508"/>
      <c r="V733" s="508"/>
      <c r="W733" s="508"/>
      <c r="X733" s="508"/>
    </row>
    <row r="734" spans="16:24" s="532" customFormat="1" ht="16.5">
      <c r="P734" s="508"/>
      <c r="Q734" s="508"/>
      <c r="R734" s="508"/>
      <c r="S734" s="508"/>
      <c r="T734" s="508"/>
      <c r="U734" s="508"/>
      <c r="V734" s="508"/>
      <c r="W734" s="508"/>
      <c r="X734" s="508"/>
    </row>
    <row r="735" spans="16:24" s="532" customFormat="1" ht="16.5">
      <c r="P735" s="508"/>
      <c r="Q735" s="508"/>
      <c r="R735" s="508"/>
      <c r="S735" s="508"/>
      <c r="T735" s="508"/>
      <c r="U735" s="508"/>
      <c r="V735" s="508"/>
      <c r="W735" s="508"/>
      <c r="X735" s="508"/>
    </row>
    <row r="736" spans="16:24" s="532" customFormat="1" ht="16.5">
      <c r="P736" s="508"/>
      <c r="Q736" s="508"/>
      <c r="R736" s="508"/>
      <c r="S736" s="508"/>
      <c r="T736" s="508"/>
      <c r="U736" s="508"/>
      <c r="V736" s="508"/>
      <c r="W736" s="508"/>
      <c r="X736" s="508"/>
    </row>
    <row r="737" spans="16:24" s="532" customFormat="1" ht="16.5">
      <c r="P737" s="508"/>
      <c r="Q737" s="508"/>
      <c r="R737" s="508"/>
      <c r="S737" s="508"/>
      <c r="T737" s="508"/>
      <c r="U737" s="508"/>
      <c r="V737" s="508"/>
      <c r="W737" s="508"/>
      <c r="X737" s="508"/>
    </row>
    <row r="738" spans="16:24" s="532" customFormat="1" ht="16.5">
      <c r="P738" s="508"/>
      <c r="Q738" s="508"/>
      <c r="R738" s="508"/>
      <c r="S738" s="508"/>
      <c r="T738" s="508"/>
      <c r="U738" s="508"/>
      <c r="V738" s="508"/>
      <c r="W738" s="508"/>
      <c r="X738" s="508"/>
    </row>
    <row r="739" spans="16:24" s="532" customFormat="1" ht="16.5">
      <c r="P739" s="508"/>
      <c r="Q739" s="508"/>
      <c r="R739" s="508"/>
      <c r="S739" s="508"/>
      <c r="T739" s="508"/>
      <c r="U739" s="508"/>
      <c r="V739" s="508"/>
      <c r="W739" s="508"/>
      <c r="X739" s="508"/>
    </row>
    <row r="740" spans="16:24" s="532" customFormat="1" ht="16.5">
      <c r="P740" s="508"/>
      <c r="Q740" s="508"/>
      <c r="R740" s="508"/>
      <c r="S740" s="508"/>
      <c r="T740" s="508"/>
      <c r="U740" s="508"/>
      <c r="V740" s="508"/>
      <c r="W740" s="508"/>
      <c r="X740" s="508"/>
    </row>
    <row r="741" spans="16:24" s="532" customFormat="1" ht="16.5">
      <c r="P741" s="508"/>
      <c r="Q741" s="508"/>
      <c r="R741" s="508"/>
      <c r="S741" s="508"/>
      <c r="T741" s="508"/>
      <c r="U741" s="508"/>
      <c r="V741" s="508"/>
      <c r="W741" s="508"/>
      <c r="X741" s="508"/>
    </row>
    <row r="742" spans="16:24" s="532" customFormat="1" ht="16.5">
      <c r="P742" s="508"/>
      <c r="Q742" s="508"/>
      <c r="R742" s="508"/>
      <c r="S742" s="508"/>
      <c r="T742" s="508"/>
      <c r="U742" s="508"/>
      <c r="V742" s="508"/>
      <c r="W742" s="508"/>
      <c r="X742" s="508"/>
    </row>
    <row r="743" spans="16:24" s="532" customFormat="1" ht="16.5">
      <c r="P743" s="508"/>
      <c r="Q743" s="508"/>
      <c r="R743" s="508"/>
      <c r="S743" s="508"/>
      <c r="T743" s="508"/>
      <c r="U743" s="508"/>
      <c r="V743" s="508"/>
      <c r="W743" s="508"/>
      <c r="X743" s="508"/>
    </row>
    <row r="744" spans="16:24" s="532" customFormat="1" ht="16.5">
      <c r="P744" s="508"/>
      <c r="Q744" s="508"/>
      <c r="R744" s="508"/>
      <c r="S744" s="508"/>
      <c r="T744" s="508"/>
      <c r="U744" s="508"/>
      <c r="V744" s="508"/>
      <c r="W744" s="508"/>
      <c r="X744" s="508"/>
    </row>
    <row r="745" spans="16:24" s="532" customFormat="1" ht="16.5">
      <c r="P745" s="508"/>
      <c r="Q745" s="508"/>
      <c r="R745" s="508"/>
      <c r="S745" s="508"/>
      <c r="T745" s="508"/>
      <c r="U745" s="508"/>
      <c r="V745" s="508"/>
      <c r="W745" s="508"/>
      <c r="X745" s="508"/>
    </row>
    <row r="746" spans="16:24" s="532" customFormat="1" ht="16.5">
      <c r="P746" s="508"/>
      <c r="Q746" s="508"/>
      <c r="R746" s="508"/>
      <c r="S746" s="508"/>
      <c r="T746" s="508"/>
      <c r="U746" s="508"/>
      <c r="V746" s="508"/>
      <c r="W746" s="508"/>
      <c r="X746" s="508"/>
    </row>
    <row r="747" spans="16:24" s="532" customFormat="1" ht="16.5">
      <c r="P747" s="508"/>
      <c r="Q747" s="508"/>
      <c r="R747" s="508"/>
      <c r="S747" s="508"/>
      <c r="T747" s="508"/>
      <c r="U747" s="508"/>
      <c r="V747" s="508"/>
      <c r="W747" s="508"/>
      <c r="X747" s="508"/>
    </row>
    <row r="748" spans="16:24" s="532" customFormat="1" ht="16.5">
      <c r="P748" s="508"/>
      <c r="Q748" s="508"/>
      <c r="R748" s="508"/>
      <c r="S748" s="508"/>
      <c r="T748" s="508"/>
      <c r="U748" s="508"/>
      <c r="V748" s="508"/>
      <c r="W748" s="508"/>
      <c r="X748" s="508"/>
    </row>
    <row r="749" spans="16:24" s="532" customFormat="1" ht="16.5">
      <c r="P749" s="508"/>
      <c r="Q749" s="508"/>
      <c r="R749" s="508"/>
      <c r="S749" s="508"/>
      <c r="T749" s="508"/>
      <c r="U749" s="508"/>
      <c r="V749" s="508"/>
      <c r="W749" s="508"/>
      <c r="X749" s="508"/>
    </row>
    <row r="750" spans="16:24" s="532" customFormat="1" ht="16.5">
      <c r="P750" s="508"/>
      <c r="Q750" s="508"/>
      <c r="R750" s="508"/>
      <c r="S750" s="508"/>
      <c r="T750" s="508"/>
      <c r="U750" s="508"/>
      <c r="V750" s="508"/>
      <c r="W750" s="508"/>
      <c r="X750" s="508"/>
    </row>
    <row r="751" spans="16:24" s="532" customFormat="1" ht="16.5">
      <c r="P751" s="508"/>
      <c r="Q751" s="508"/>
      <c r="R751" s="508"/>
      <c r="S751" s="508"/>
      <c r="T751" s="508"/>
      <c r="U751" s="508"/>
      <c r="V751" s="508"/>
      <c r="W751" s="508"/>
      <c r="X751" s="508"/>
    </row>
    <row r="752" spans="16:24" s="532" customFormat="1" ht="16.5">
      <c r="P752" s="508"/>
      <c r="Q752" s="508"/>
      <c r="R752" s="508"/>
      <c r="S752" s="508"/>
      <c r="T752" s="508"/>
      <c r="U752" s="508"/>
      <c r="V752" s="508"/>
      <c r="W752" s="508"/>
      <c r="X752" s="508"/>
    </row>
    <row r="753" spans="16:24" s="532" customFormat="1" ht="16.5">
      <c r="P753" s="508"/>
      <c r="Q753" s="508"/>
      <c r="R753" s="508"/>
      <c r="S753" s="508"/>
      <c r="T753" s="508"/>
      <c r="U753" s="508"/>
      <c r="V753" s="508"/>
      <c r="W753" s="508"/>
      <c r="X753" s="508"/>
    </row>
    <row r="754" spans="16:24" s="532" customFormat="1" ht="16.5">
      <c r="P754" s="508"/>
      <c r="Q754" s="508"/>
      <c r="R754" s="508"/>
      <c r="S754" s="508"/>
      <c r="T754" s="508"/>
      <c r="U754" s="508"/>
      <c r="V754" s="508"/>
      <c r="W754" s="508"/>
      <c r="X754" s="508"/>
    </row>
    <row r="755" spans="16:24" s="532" customFormat="1" ht="16.5">
      <c r="P755" s="508"/>
      <c r="Q755" s="508"/>
      <c r="R755" s="508"/>
      <c r="S755" s="508"/>
      <c r="T755" s="508"/>
      <c r="U755" s="508"/>
      <c r="V755" s="508"/>
      <c r="W755" s="508"/>
      <c r="X755" s="508"/>
    </row>
    <row r="756" spans="16:24" s="532" customFormat="1" ht="16.5">
      <c r="P756" s="508"/>
      <c r="Q756" s="508"/>
      <c r="R756" s="508"/>
      <c r="S756" s="508"/>
      <c r="T756" s="508"/>
      <c r="U756" s="508"/>
      <c r="V756" s="508"/>
      <c r="W756" s="508"/>
      <c r="X756" s="508"/>
    </row>
    <row r="757" spans="16:24" s="532" customFormat="1" ht="16.5">
      <c r="P757" s="508"/>
      <c r="Q757" s="508"/>
      <c r="R757" s="508"/>
      <c r="S757" s="508"/>
      <c r="T757" s="508"/>
      <c r="U757" s="508"/>
      <c r="V757" s="508"/>
      <c r="W757" s="508"/>
      <c r="X757" s="508"/>
    </row>
    <row r="758" spans="16:24" s="532" customFormat="1" ht="16.5">
      <c r="P758" s="508"/>
      <c r="Q758" s="508"/>
      <c r="R758" s="508"/>
      <c r="S758" s="508"/>
      <c r="T758" s="508"/>
      <c r="U758" s="508"/>
      <c r="V758" s="508"/>
      <c r="W758" s="508"/>
      <c r="X758" s="508"/>
    </row>
    <row r="759" spans="16:24" s="532" customFormat="1" ht="16.5">
      <c r="P759" s="508"/>
      <c r="Q759" s="508"/>
      <c r="R759" s="508"/>
      <c r="S759" s="508"/>
      <c r="T759" s="508"/>
      <c r="U759" s="508"/>
      <c r="V759" s="508"/>
      <c r="W759" s="508"/>
      <c r="X759" s="508"/>
    </row>
    <row r="760" spans="16:24" s="532" customFormat="1" ht="16.5">
      <c r="P760" s="508"/>
      <c r="Q760" s="508"/>
      <c r="R760" s="508"/>
      <c r="S760" s="508"/>
      <c r="T760" s="508"/>
      <c r="U760" s="508"/>
      <c r="V760" s="508"/>
      <c r="W760" s="508"/>
      <c r="X760" s="508"/>
    </row>
    <row r="761" spans="16:24" s="532" customFormat="1" ht="16.5">
      <c r="P761" s="508"/>
      <c r="Q761" s="508"/>
      <c r="R761" s="508"/>
      <c r="S761" s="508"/>
      <c r="T761" s="508"/>
      <c r="U761" s="508"/>
      <c r="V761" s="508"/>
      <c r="W761" s="508"/>
      <c r="X761" s="508"/>
    </row>
    <row r="762" spans="16:24" s="532" customFormat="1" ht="16.5">
      <c r="P762" s="508"/>
      <c r="Q762" s="508"/>
      <c r="R762" s="508"/>
      <c r="S762" s="508"/>
      <c r="T762" s="508"/>
      <c r="U762" s="508"/>
      <c r="V762" s="508"/>
      <c r="W762" s="508"/>
      <c r="X762" s="508"/>
    </row>
    <row r="763" spans="16:24" s="532" customFormat="1" ht="16.5">
      <c r="P763" s="508"/>
      <c r="Q763" s="508"/>
      <c r="R763" s="508"/>
      <c r="S763" s="508"/>
      <c r="T763" s="508"/>
      <c r="U763" s="508"/>
      <c r="V763" s="508"/>
      <c r="W763" s="508"/>
      <c r="X763" s="508"/>
    </row>
    <row r="764" spans="16:24" s="532" customFormat="1" ht="16.5">
      <c r="P764" s="508"/>
      <c r="Q764" s="508"/>
      <c r="R764" s="508"/>
      <c r="S764" s="508"/>
      <c r="T764" s="508"/>
      <c r="U764" s="508"/>
      <c r="V764" s="508"/>
      <c r="W764" s="508"/>
      <c r="X764" s="508"/>
    </row>
    <row r="765" spans="16:24" s="532" customFormat="1" ht="16.5">
      <c r="P765" s="508"/>
      <c r="Q765" s="508"/>
      <c r="R765" s="508"/>
      <c r="S765" s="508"/>
      <c r="T765" s="508"/>
      <c r="U765" s="508"/>
      <c r="V765" s="508"/>
      <c r="W765" s="508"/>
      <c r="X765" s="508"/>
    </row>
    <row r="766" spans="16:24" s="532" customFormat="1" ht="16.5">
      <c r="P766" s="508"/>
      <c r="Q766" s="508"/>
      <c r="R766" s="508"/>
      <c r="S766" s="508"/>
      <c r="T766" s="508"/>
      <c r="U766" s="508"/>
      <c r="V766" s="508"/>
      <c r="W766" s="508"/>
      <c r="X766" s="508"/>
    </row>
    <row r="767" spans="16:24" s="532" customFormat="1" ht="16.5">
      <c r="P767" s="508"/>
      <c r="Q767" s="508"/>
      <c r="R767" s="508"/>
      <c r="S767" s="508"/>
      <c r="T767" s="508"/>
      <c r="U767" s="508"/>
      <c r="V767" s="508"/>
      <c r="W767" s="508"/>
      <c r="X767" s="508"/>
    </row>
    <row r="768" spans="16:24" s="532" customFormat="1" ht="16.5">
      <c r="P768" s="508"/>
      <c r="Q768" s="508"/>
      <c r="R768" s="508"/>
      <c r="S768" s="508"/>
      <c r="T768" s="508"/>
      <c r="U768" s="508"/>
      <c r="V768" s="508"/>
      <c r="W768" s="508"/>
      <c r="X768" s="508"/>
    </row>
    <row r="769" spans="16:24" s="532" customFormat="1" ht="16.5">
      <c r="P769" s="508"/>
      <c r="Q769" s="508"/>
      <c r="R769" s="508"/>
      <c r="S769" s="508"/>
      <c r="T769" s="508"/>
      <c r="U769" s="508"/>
      <c r="V769" s="508"/>
      <c r="W769" s="508"/>
      <c r="X769" s="508"/>
    </row>
    <row r="770" spans="16:24" s="532" customFormat="1" ht="16.5">
      <c r="P770" s="508"/>
      <c r="Q770" s="508"/>
      <c r="R770" s="508"/>
      <c r="S770" s="508"/>
      <c r="T770" s="508"/>
      <c r="U770" s="508"/>
      <c r="V770" s="508"/>
      <c r="W770" s="508"/>
      <c r="X770" s="508"/>
    </row>
    <row r="771" spans="16:24" s="532" customFormat="1" ht="16.5">
      <c r="P771" s="508"/>
      <c r="Q771" s="508"/>
      <c r="R771" s="508"/>
      <c r="S771" s="508"/>
      <c r="T771" s="508"/>
      <c r="U771" s="508"/>
      <c r="V771" s="508"/>
      <c r="W771" s="508"/>
      <c r="X771" s="508"/>
    </row>
    <row r="772" spans="16:24" s="532" customFormat="1" ht="16.5">
      <c r="P772" s="508"/>
      <c r="Q772" s="508"/>
      <c r="R772" s="508"/>
      <c r="S772" s="508"/>
      <c r="T772" s="508"/>
      <c r="U772" s="508"/>
      <c r="V772" s="508"/>
      <c r="W772" s="508"/>
      <c r="X772" s="508"/>
    </row>
    <row r="773" spans="16:24" s="532" customFormat="1" ht="16.5">
      <c r="P773" s="508"/>
      <c r="Q773" s="508"/>
      <c r="R773" s="508"/>
      <c r="S773" s="508"/>
      <c r="T773" s="508"/>
      <c r="U773" s="508"/>
      <c r="V773" s="508"/>
      <c r="W773" s="508"/>
      <c r="X773" s="508"/>
    </row>
    <row r="774" spans="16:24" ht="16.5">
      <c r="P774" s="284"/>
      <c r="Q774" s="284"/>
      <c r="R774" s="284"/>
      <c r="S774" s="284"/>
      <c r="T774" s="284"/>
      <c r="U774" s="284"/>
      <c r="V774" s="284"/>
      <c r="W774" s="284"/>
      <c r="X774" s="284"/>
    </row>
  </sheetData>
  <mergeCells count="21">
    <mergeCell ref="A14:M14"/>
    <mergeCell ref="X6:X13"/>
    <mergeCell ref="Y6:Y10"/>
    <mergeCell ref="P10:P13"/>
    <mergeCell ref="Q10:Q13"/>
    <mergeCell ref="R10:R13"/>
    <mergeCell ref="S10:S13"/>
    <mergeCell ref="T10:T13"/>
    <mergeCell ref="U10:U13"/>
    <mergeCell ref="V10:V13"/>
    <mergeCell ref="Y11:Y13"/>
    <mergeCell ref="A1:Y1"/>
    <mergeCell ref="A2:Y2"/>
    <mergeCell ref="A3:Y3"/>
    <mergeCell ref="A6:M13"/>
    <mergeCell ref="N6:N13"/>
    <mergeCell ref="O6:O13"/>
    <mergeCell ref="P6:R9"/>
    <mergeCell ref="S6:U9"/>
    <mergeCell ref="V6:V9"/>
    <mergeCell ref="W6:W13"/>
  </mergeCells>
  <pageMargins left="0.15" right="0.25" top="0.25" bottom="0.25" header="0.51180555555555596" footer="0.25"/>
  <pageSetup paperSize="5" scale="40" orientation="landscape" useFirstPageNumber="1" horizontalDpi="4294967294" verticalDpi="0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BX223"/>
  <sheetViews>
    <sheetView tabSelected="1" topLeftCell="C10" zoomScale="70" zoomScaleNormal="70" workbookViewId="0">
      <pane xSplit="5640" ySplit="3030" topLeftCell="P74" activePane="bottomRight"/>
      <selection activeCell="C10" sqref="C10"/>
      <selection pane="topRight" activeCell="I10" sqref="I10"/>
      <selection pane="bottomLeft" activeCell="C17" sqref="C17"/>
      <selection pane="bottomRight" activeCell="I17" sqref="I17"/>
    </sheetView>
  </sheetViews>
  <sheetFormatPr defaultColWidth="9.1796875" defaultRowHeight="14.5"/>
  <cols>
    <col min="1" max="1" width="2.54296875" style="1" hidden="1" customWidth="1"/>
    <col min="2" max="2" width="18" style="1" hidden="1" customWidth="1"/>
    <col min="3" max="3" width="7.1796875" style="1" customWidth="1"/>
    <col min="4" max="4" width="2.36328125" style="1" customWidth="1"/>
    <col min="5" max="5" width="16" style="1" customWidth="1"/>
    <col min="6" max="6" width="17.7265625" style="1" customWidth="1"/>
    <col min="7" max="7" width="16.7265625" style="1" customWidth="1"/>
    <col min="8" max="8" width="9.81640625" style="1" customWidth="1"/>
    <col min="9" max="9" width="9.54296875" style="1" customWidth="1"/>
    <col min="10" max="10" width="14.6328125" style="1" bestFit="1" customWidth="1"/>
    <col min="11" max="11" width="16.453125" style="1" customWidth="1"/>
    <col min="12" max="12" width="9.54296875" style="1" customWidth="1"/>
    <col min="13" max="13" width="15.81640625" style="1" bestFit="1" customWidth="1"/>
    <col min="14" max="14" width="9.54296875" style="1" customWidth="1"/>
    <col min="15" max="15" width="15.81640625" style="1" bestFit="1" customWidth="1"/>
    <col min="16" max="16" width="9.54296875" style="1" customWidth="1"/>
    <col min="17" max="17" width="19.1796875" style="1" bestFit="1" customWidth="1"/>
    <col min="18" max="18" width="9.54296875" style="1" customWidth="1"/>
    <col min="19" max="19" width="19.1796875" style="1" bestFit="1" customWidth="1"/>
    <col min="20" max="20" width="9.54296875" style="1" customWidth="1"/>
    <col min="21" max="21" width="19.54296875" style="1" bestFit="1" customWidth="1"/>
    <col min="22" max="22" width="9.54296875" style="1" customWidth="1"/>
    <col min="23" max="23" width="15.81640625" style="1" bestFit="1" customWidth="1"/>
    <col min="24" max="24" width="9.54296875" style="1" customWidth="1"/>
    <col min="25" max="25" width="15.81640625" style="1" bestFit="1" customWidth="1"/>
    <col min="26" max="26" width="10.26953125" style="1" bestFit="1" customWidth="1"/>
    <col min="27" max="27" width="19.54296875" style="1" bestFit="1" customWidth="1"/>
    <col min="28" max="28" width="9.54296875" style="1" customWidth="1"/>
    <col min="29" max="29" width="19.54296875" style="1" bestFit="1" customWidth="1"/>
    <col min="30" max="30" width="9.54296875" style="1" customWidth="1"/>
    <col min="31" max="31" width="17.81640625" style="1" customWidth="1"/>
    <col min="32" max="37" width="9.54296875" style="1" customWidth="1"/>
    <col min="38" max="39" width="10.26953125" style="1" bestFit="1" customWidth="1"/>
    <col min="40" max="40" width="7.7265625" style="1" customWidth="1"/>
    <col min="41" max="41" width="8.7265625" style="1" customWidth="1"/>
    <col min="42" max="42" width="9.54296875" style="1" customWidth="1"/>
    <col min="43" max="43" width="9.1796875" style="1"/>
    <col min="44" max="44" width="18.7265625" style="1" customWidth="1"/>
    <col min="45" max="45" width="19.7265625" style="1" customWidth="1"/>
    <col min="46" max="46" width="19.7265625" style="1" bestFit="1" customWidth="1"/>
    <col min="47" max="47" width="18.54296875" style="1" customWidth="1"/>
    <col min="48" max="48" width="17.36328125" style="1" bestFit="1" customWidth="1"/>
    <col min="49" max="49" width="17.36328125" style="1" customWidth="1"/>
    <col min="50" max="51" width="17.36328125" style="1" bestFit="1" customWidth="1"/>
    <col min="52" max="16384" width="9.1796875" style="1"/>
  </cols>
  <sheetData>
    <row r="2" spans="1:49" ht="18.5">
      <c r="A2" s="199" t="s">
        <v>0</v>
      </c>
      <c r="B2" s="199"/>
      <c r="C2" s="923" t="s">
        <v>236</v>
      </c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  <c r="W2" s="923"/>
      <c r="X2" s="923"/>
      <c r="Y2" s="923"/>
      <c r="Z2" s="923"/>
      <c r="AA2" s="923"/>
      <c r="AB2" s="923"/>
      <c r="AC2" s="923"/>
      <c r="AD2" s="923"/>
      <c r="AE2" s="923"/>
      <c r="AF2" s="923"/>
      <c r="AG2" s="923"/>
      <c r="AH2" s="923"/>
      <c r="AI2" s="923"/>
      <c r="AJ2" s="923"/>
      <c r="AK2" s="923"/>
      <c r="AL2" s="923"/>
      <c r="AM2" s="923"/>
      <c r="AN2" s="923"/>
      <c r="AO2" s="923"/>
      <c r="AP2" s="923"/>
    </row>
    <row r="3" spans="1:49" ht="21">
      <c r="A3" s="2"/>
      <c r="B3" s="2"/>
      <c r="C3" s="924" t="s">
        <v>237</v>
      </c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924"/>
      <c r="X3" s="924"/>
      <c r="Y3" s="924"/>
      <c r="Z3" s="924"/>
      <c r="AA3" s="924"/>
      <c r="AB3" s="924"/>
      <c r="AC3" s="924"/>
      <c r="AD3" s="924"/>
      <c r="AE3" s="924"/>
      <c r="AF3" s="924"/>
      <c r="AG3" s="924"/>
      <c r="AH3" s="924"/>
      <c r="AI3" s="924"/>
      <c r="AJ3" s="924"/>
      <c r="AK3" s="924"/>
      <c r="AL3" s="924"/>
      <c r="AM3" s="924"/>
      <c r="AN3" s="924"/>
      <c r="AO3" s="924"/>
      <c r="AP3" s="924"/>
    </row>
    <row r="4" spans="1:49" ht="21">
      <c r="A4" s="197"/>
      <c r="B4" s="198"/>
      <c r="C4" s="924" t="s">
        <v>238</v>
      </c>
      <c r="D4" s="924"/>
      <c r="E4" s="924"/>
      <c r="F4" s="924"/>
      <c r="G4" s="924"/>
      <c r="H4" s="924"/>
      <c r="I4" s="924"/>
      <c r="J4" s="924"/>
      <c r="K4" s="924"/>
      <c r="L4" s="924"/>
      <c r="M4" s="924"/>
      <c r="N4" s="924"/>
      <c r="O4" s="924"/>
      <c r="P4" s="924"/>
      <c r="Q4" s="924"/>
      <c r="R4" s="924"/>
      <c r="S4" s="924"/>
      <c r="T4" s="924"/>
      <c r="U4" s="924"/>
      <c r="V4" s="924"/>
      <c r="W4" s="924"/>
      <c r="X4" s="924"/>
      <c r="Y4" s="924"/>
      <c r="Z4" s="924"/>
      <c r="AA4" s="924"/>
      <c r="AB4" s="924"/>
      <c r="AC4" s="924"/>
      <c r="AD4" s="924"/>
      <c r="AE4" s="924"/>
      <c r="AF4" s="924"/>
      <c r="AG4" s="924"/>
      <c r="AH4" s="924"/>
      <c r="AI4" s="924"/>
      <c r="AJ4" s="924"/>
      <c r="AK4" s="924"/>
      <c r="AL4" s="924"/>
      <c r="AM4" s="924"/>
      <c r="AN4" s="924"/>
      <c r="AO4" s="924"/>
      <c r="AP4" s="924"/>
      <c r="AQ4" s="198"/>
      <c r="AR4" s="3"/>
    </row>
    <row r="5" spans="1:49" s="5" customFormat="1" ht="21">
      <c r="A5" s="196" t="s">
        <v>1</v>
      </c>
      <c r="B5" s="196"/>
      <c r="C5" s="924" t="s">
        <v>574</v>
      </c>
      <c r="D5" s="924"/>
      <c r="E5" s="924"/>
      <c r="F5" s="924"/>
      <c r="G5" s="924"/>
      <c r="H5" s="924"/>
      <c r="I5" s="924"/>
      <c r="J5" s="924"/>
      <c r="K5" s="924"/>
      <c r="L5" s="924"/>
      <c r="M5" s="924"/>
      <c r="N5" s="924"/>
      <c r="O5" s="924"/>
      <c r="P5" s="924"/>
      <c r="Q5" s="924"/>
      <c r="R5" s="924"/>
      <c r="S5" s="924"/>
      <c r="T5" s="924"/>
      <c r="U5" s="924"/>
      <c r="V5" s="924"/>
      <c r="W5" s="924"/>
      <c r="X5" s="924"/>
      <c r="Y5" s="924"/>
      <c r="Z5" s="924"/>
      <c r="AA5" s="924"/>
      <c r="AB5" s="924"/>
      <c r="AC5" s="924"/>
      <c r="AD5" s="924"/>
      <c r="AE5" s="924"/>
      <c r="AF5" s="924"/>
      <c r="AG5" s="924"/>
      <c r="AH5" s="924"/>
      <c r="AI5" s="924"/>
      <c r="AJ5" s="924"/>
      <c r="AK5" s="924"/>
      <c r="AL5" s="924"/>
      <c r="AM5" s="924"/>
      <c r="AN5" s="924"/>
      <c r="AO5" s="924"/>
      <c r="AP5" s="924"/>
      <c r="AQ5" s="4"/>
    </row>
    <row r="6" spans="1:49" s="5" customFormat="1" ht="18.5">
      <c r="A6" s="196"/>
      <c r="B6" s="196"/>
      <c r="C6" s="2"/>
      <c r="D6" s="2"/>
      <c r="E6" s="2"/>
      <c r="F6" s="2"/>
      <c r="G6" s="2"/>
      <c r="H6" s="2"/>
      <c r="I6" s="53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4"/>
    </row>
    <row r="7" spans="1:49" s="5" customFormat="1" ht="18.5">
      <c r="A7" s="196"/>
      <c r="B7" s="196"/>
      <c r="C7" s="2"/>
      <c r="D7" s="2"/>
      <c r="E7" s="2"/>
      <c r="F7" s="2"/>
      <c r="G7" s="2"/>
      <c r="H7" s="2"/>
      <c r="I7" s="53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4"/>
    </row>
    <row r="8" spans="1:49" s="5" customFormat="1" ht="18.5">
      <c r="A8" s="196"/>
      <c r="B8" s="196"/>
      <c r="C8" s="925" t="s">
        <v>318</v>
      </c>
      <c r="D8" s="925"/>
      <c r="E8" s="925"/>
      <c r="F8" s="925"/>
      <c r="G8" s="925"/>
      <c r="H8" s="925"/>
      <c r="I8" s="925"/>
      <c r="J8" s="925"/>
      <c r="K8" s="925"/>
      <c r="L8" s="925"/>
      <c r="M8" s="92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4"/>
    </row>
    <row r="9" spans="1:49" s="5" customFormat="1" ht="18.5">
      <c r="A9" s="196"/>
      <c r="B9" s="196"/>
      <c r="C9" s="278" t="s">
        <v>319</v>
      </c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4"/>
    </row>
    <row r="10" spans="1:49" s="5" customFormat="1" ht="15.5">
      <c r="A10" s="1"/>
      <c r="B10" s="1"/>
      <c r="C10" s="278" t="s">
        <v>320</v>
      </c>
      <c r="D10" s="280"/>
      <c r="E10" s="280"/>
      <c r="F10" s="278"/>
      <c r="G10" s="280"/>
      <c r="H10" s="280"/>
      <c r="I10" s="280"/>
      <c r="J10" s="280"/>
      <c r="K10" s="280"/>
      <c r="L10" s="280"/>
      <c r="M10" s="280"/>
    </row>
    <row r="11" spans="1:49" ht="18.5">
      <c r="A11" s="6"/>
      <c r="B11" s="7"/>
      <c r="C11" s="7"/>
      <c r="F11" s="6"/>
    </row>
    <row r="12" spans="1:49" s="8" customFormat="1" ht="36" customHeight="1">
      <c r="A12" s="880" t="s">
        <v>2</v>
      </c>
      <c r="B12" s="881"/>
      <c r="C12" s="896" t="s">
        <v>235</v>
      </c>
      <c r="D12" s="880" t="s">
        <v>3</v>
      </c>
      <c r="E12" s="881"/>
      <c r="F12" s="896" t="s">
        <v>4</v>
      </c>
      <c r="G12" s="896" t="s">
        <v>227</v>
      </c>
      <c r="H12" s="929" t="s">
        <v>228</v>
      </c>
      <c r="I12" s="929" t="s">
        <v>543</v>
      </c>
      <c r="J12" s="918" t="s">
        <v>240</v>
      </c>
      <c r="K12" s="920"/>
      <c r="L12" s="918" t="s">
        <v>231</v>
      </c>
      <c r="M12" s="919"/>
      <c r="N12" s="919"/>
      <c r="O12" s="919"/>
      <c r="P12" s="919"/>
      <c r="Q12" s="919"/>
      <c r="R12" s="919"/>
      <c r="S12" s="919"/>
      <c r="T12" s="919"/>
      <c r="U12" s="920"/>
      <c r="V12" s="918" t="s">
        <v>232</v>
      </c>
      <c r="W12" s="919"/>
      <c r="X12" s="919"/>
      <c r="Y12" s="919"/>
      <c r="Z12" s="919"/>
      <c r="AA12" s="919"/>
      <c r="AB12" s="919"/>
      <c r="AC12" s="919"/>
      <c r="AD12" s="919"/>
      <c r="AE12" s="920"/>
      <c r="AF12" s="918" t="s">
        <v>233</v>
      </c>
      <c r="AG12" s="919"/>
      <c r="AH12" s="919"/>
      <c r="AI12" s="919"/>
      <c r="AJ12" s="919"/>
      <c r="AK12" s="919"/>
      <c r="AL12" s="919"/>
      <c r="AM12" s="919"/>
      <c r="AN12" s="919"/>
      <c r="AO12" s="920"/>
      <c r="AP12" s="926" t="s">
        <v>234</v>
      </c>
    </row>
    <row r="13" spans="1:49" s="8" customFormat="1" ht="24.75" customHeight="1">
      <c r="A13" s="882"/>
      <c r="B13" s="883"/>
      <c r="C13" s="897"/>
      <c r="D13" s="882"/>
      <c r="E13" s="883"/>
      <c r="F13" s="897"/>
      <c r="G13" s="897"/>
      <c r="H13" s="930"/>
      <c r="I13" s="930"/>
      <c r="J13" s="932"/>
      <c r="K13" s="933"/>
      <c r="L13" s="921" t="s">
        <v>581</v>
      </c>
      <c r="M13" s="922"/>
      <c r="N13" s="921" t="s">
        <v>582</v>
      </c>
      <c r="O13" s="922"/>
      <c r="P13" s="921" t="s">
        <v>583</v>
      </c>
      <c r="Q13" s="922"/>
      <c r="R13" s="921" t="s">
        <v>584</v>
      </c>
      <c r="S13" s="922"/>
      <c r="T13" s="921" t="s">
        <v>575</v>
      </c>
      <c r="U13" s="922"/>
      <c r="V13" s="921" t="s">
        <v>581</v>
      </c>
      <c r="W13" s="922"/>
      <c r="X13" s="921" t="s">
        <v>582</v>
      </c>
      <c r="Y13" s="922"/>
      <c r="Z13" s="921" t="s">
        <v>583</v>
      </c>
      <c r="AA13" s="922"/>
      <c r="AB13" s="921" t="s">
        <v>584</v>
      </c>
      <c r="AC13" s="922"/>
      <c r="AD13" s="921" t="s">
        <v>575</v>
      </c>
      <c r="AE13" s="922"/>
      <c r="AF13" s="921" t="s">
        <v>581</v>
      </c>
      <c r="AG13" s="922"/>
      <c r="AH13" s="921" t="s">
        <v>582</v>
      </c>
      <c r="AI13" s="922"/>
      <c r="AJ13" s="921" t="s">
        <v>583</v>
      </c>
      <c r="AK13" s="922"/>
      <c r="AL13" s="921" t="s">
        <v>584</v>
      </c>
      <c r="AM13" s="922"/>
      <c r="AN13" s="921" t="s">
        <v>575</v>
      </c>
      <c r="AO13" s="922"/>
      <c r="AP13" s="927"/>
    </row>
    <row r="14" spans="1:49" s="10" customFormat="1" ht="53.25" customHeight="1">
      <c r="A14" s="884"/>
      <c r="B14" s="885"/>
      <c r="C14" s="898"/>
      <c r="D14" s="884"/>
      <c r="E14" s="885"/>
      <c r="F14" s="898"/>
      <c r="G14" s="898"/>
      <c r="H14" s="931"/>
      <c r="I14" s="931"/>
      <c r="J14" s="9" t="s">
        <v>229</v>
      </c>
      <c r="K14" s="13" t="s">
        <v>230</v>
      </c>
      <c r="L14" s="9" t="s">
        <v>229</v>
      </c>
      <c r="M14" s="13" t="s">
        <v>230</v>
      </c>
      <c r="N14" s="9" t="s">
        <v>229</v>
      </c>
      <c r="O14" s="13" t="s">
        <v>230</v>
      </c>
      <c r="P14" s="9" t="s">
        <v>229</v>
      </c>
      <c r="Q14" s="13" t="s">
        <v>230</v>
      </c>
      <c r="R14" s="9" t="s">
        <v>229</v>
      </c>
      <c r="S14" s="13" t="s">
        <v>230</v>
      </c>
      <c r="T14" s="9" t="s">
        <v>229</v>
      </c>
      <c r="U14" s="13" t="s">
        <v>230</v>
      </c>
      <c r="V14" s="9" t="s">
        <v>229</v>
      </c>
      <c r="W14" s="13" t="s">
        <v>230</v>
      </c>
      <c r="X14" s="9" t="s">
        <v>229</v>
      </c>
      <c r="Y14" s="13" t="s">
        <v>230</v>
      </c>
      <c r="Z14" s="9" t="s">
        <v>229</v>
      </c>
      <c r="AA14" s="13" t="s">
        <v>230</v>
      </c>
      <c r="AB14" s="9" t="s">
        <v>229</v>
      </c>
      <c r="AC14" s="13" t="s">
        <v>230</v>
      </c>
      <c r="AD14" s="9" t="s">
        <v>229</v>
      </c>
      <c r="AE14" s="13" t="s">
        <v>230</v>
      </c>
      <c r="AF14" s="9" t="s">
        <v>229</v>
      </c>
      <c r="AG14" s="13" t="s">
        <v>230</v>
      </c>
      <c r="AH14" s="9" t="s">
        <v>229</v>
      </c>
      <c r="AI14" s="13" t="s">
        <v>230</v>
      </c>
      <c r="AJ14" s="9" t="s">
        <v>229</v>
      </c>
      <c r="AK14" s="13" t="s">
        <v>230</v>
      </c>
      <c r="AL14" s="9" t="s">
        <v>229</v>
      </c>
      <c r="AM14" s="13" t="s">
        <v>230</v>
      </c>
      <c r="AN14" s="9" t="s">
        <v>229</v>
      </c>
      <c r="AO14" s="13" t="s">
        <v>230</v>
      </c>
      <c r="AP14" s="928"/>
      <c r="AS14" s="801"/>
      <c r="AT14" s="801"/>
      <c r="AU14" s="801"/>
      <c r="AV14" s="801"/>
      <c r="AW14" s="801"/>
    </row>
    <row r="15" spans="1:49" s="10" customFormat="1" ht="20.25" customHeight="1">
      <c r="A15" s="11"/>
      <c r="B15" s="12">
        <v>1</v>
      </c>
      <c r="C15" s="223">
        <v>1</v>
      </c>
      <c r="D15" s="916">
        <v>2</v>
      </c>
      <c r="E15" s="917"/>
      <c r="F15" s="224">
        <v>3</v>
      </c>
      <c r="G15" s="224">
        <v>4</v>
      </c>
      <c r="H15" s="225">
        <v>5</v>
      </c>
      <c r="I15" s="537"/>
      <c r="J15" s="916">
        <v>6</v>
      </c>
      <c r="K15" s="917"/>
      <c r="L15" s="916">
        <v>7</v>
      </c>
      <c r="M15" s="917"/>
      <c r="N15" s="916">
        <v>8</v>
      </c>
      <c r="O15" s="917"/>
      <c r="P15" s="916">
        <v>9</v>
      </c>
      <c r="Q15" s="917"/>
      <c r="R15" s="916">
        <v>10</v>
      </c>
      <c r="S15" s="917"/>
      <c r="T15" s="916">
        <v>11</v>
      </c>
      <c r="U15" s="917"/>
      <c r="V15" s="916">
        <v>12</v>
      </c>
      <c r="W15" s="917"/>
      <c r="X15" s="916">
        <v>13</v>
      </c>
      <c r="Y15" s="917"/>
      <c r="Z15" s="916">
        <v>14</v>
      </c>
      <c r="AA15" s="917"/>
      <c r="AB15" s="916">
        <v>15</v>
      </c>
      <c r="AC15" s="917"/>
      <c r="AD15" s="916">
        <v>16</v>
      </c>
      <c r="AE15" s="917"/>
      <c r="AF15" s="916">
        <v>17</v>
      </c>
      <c r="AG15" s="917"/>
      <c r="AH15" s="916">
        <v>18</v>
      </c>
      <c r="AI15" s="917"/>
      <c r="AJ15" s="916">
        <v>19</v>
      </c>
      <c r="AK15" s="917"/>
      <c r="AL15" s="916">
        <v>20</v>
      </c>
      <c r="AM15" s="917"/>
      <c r="AN15" s="916">
        <v>21</v>
      </c>
      <c r="AO15" s="917"/>
      <c r="AP15" s="226"/>
      <c r="AS15" s="801"/>
      <c r="AT15" s="801"/>
      <c r="AU15" s="801"/>
      <c r="AV15" s="801"/>
      <c r="AW15" s="801"/>
    </row>
    <row r="16" spans="1:49" s="10" customFormat="1" ht="35.25" customHeight="1">
      <c r="A16" s="905" t="s">
        <v>5</v>
      </c>
      <c r="B16" s="906"/>
      <c r="C16" s="906"/>
      <c r="D16" s="906"/>
      <c r="E16" s="906"/>
      <c r="F16" s="906"/>
      <c r="G16" s="907"/>
      <c r="H16" s="14"/>
      <c r="I16" s="14"/>
      <c r="J16" s="218"/>
      <c r="K16" s="217">
        <f>M16+O16+Q16+S16+U16</f>
        <v>99983528451</v>
      </c>
      <c r="L16" s="16"/>
      <c r="M16" s="217">
        <f>M18+M20</f>
        <v>21975494800</v>
      </c>
      <c r="N16" s="16"/>
      <c r="O16" s="217">
        <f>O18+O20</f>
        <v>21601304650</v>
      </c>
      <c r="P16" s="16"/>
      <c r="Q16" s="15">
        <f>Q74+Q102+Q125+Q141+Q148</f>
        <v>18568809012</v>
      </c>
      <c r="R16" s="16"/>
      <c r="S16" s="15">
        <f>S74+S102+S125+S141+S148</f>
        <v>19317676659</v>
      </c>
      <c r="T16" s="16"/>
      <c r="U16" s="15">
        <f>U74+U102+U125+U141+U148</f>
        <v>18520243330</v>
      </c>
      <c r="V16" s="16"/>
      <c r="W16" s="217">
        <f>W18+W20</f>
        <v>18717230661</v>
      </c>
      <c r="X16" s="16"/>
      <c r="Y16" s="217">
        <f>Y18+Y20</f>
        <v>20102055804.200001</v>
      </c>
      <c r="Z16" s="16"/>
      <c r="AA16" s="220">
        <f>AA74+AA102+AA125+AA141+AA148</f>
        <v>17492923876</v>
      </c>
      <c r="AB16" s="16"/>
      <c r="AC16" s="220">
        <f>AC74+AC102+AC125+AC141+AC148</f>
        <v>18304456255</v>
      </c>
      <c r="AD16" s="16"/>
      <c r="AE16" s="798">
        <f>AE74+AE102+AE125+AE141+AE148</f>
        <v>16803307807.200001</v>
      </c>
      <c r="AF16" s="221"/>
      <c r="AG16" s="221">
        <f>W16/M16</f>
        <v>0.85173193283456805</v>
      </c>
      <c r="AH16" s="16"/>
      <c r="AI16" s="221">
        <f>Y16/O16</f>
        <v>0.93059452333588566</v>
      </c>
      <c r="AJ16" s="16"/>
      <c r="AK16" s="221">
        <f>AA16/Q16</f>
        <v>0.94205955076037917</v>
      </c>
      <c r="AL16" s="16"/>
      <c r="AM16" s="221">
        <f>AC16/S16</f>
        <v>0.94754957224486169</v>
      </c>
      <c r="AN16" s="16"/>
      <c r="AO16" s="221">
        <f>AE16/U16</f>
        <v>0.90729411637811352</v>
      </c>
      <c r="AP16" s="16" t="s">
        <v>6</v>
      </c>
      <c r="AS16" s="802"/>
      <c r="AT16" s="803"/>
      <c r="AU16" s="804"/>
      <c r="AV16" s="803"/>
      <c r="AW16" s="801"/>
    </row>
    <row r="17" spans="1:42" s="10" customFormat="1" ht="20.25" customHeight="1">
      <c r="A17" s="17" t="s">
        <v>7</v>
      </c>
      <c r="B17" s="18"/>
      <c r="C17" s="276"/>
      <c r="D17" s="886"/>
      <c r="E17" s="887"/>
      <c r="F17" s="20"/>
      <c r="G17" s="19"/>
      <c r="H17" s="20"/>
      <c r="I17" s="20"/>
      <c r="J17" s="20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</row>
    <row r="18" spans="1:42" s="10" customFormat="1" ht="51.75" customHeight="1">
      <c r="A18" s="888" t="s">
        <v>8</v>
      </c>
      <c r="B18" s="889"/>
      <c r="C18" s="200">
        <v>1</v>
      </c>
      <c r="D18" s="892"/>
      <c r="E18" s="893"/>
      <c r="F18" s="23" t="s">
        <v>9</v>
      </c>
      <c r="G18" s="24"/>
      <c r="H18" s="25">
        <v>1</v>
      </c>
      <c r="I18" s="25"/>
      <c r="J18" s="25">
        <v>1</v>
      </c>
      <c r="K18" s="209">
        <f>K19</f>
        <v>18522250000</v>
      </c>
      <c r="L18" s="208">
        <v>1</v>
      </c>
      <c r="M18" s="209">
        <f>M19</f>
        <v>9572250000</v>
      </c>
      <c r="N18" s="208">
        <v>1</v>
      </c>
      <c r="O18" s="209">
        <f>O19</f>
        <v>8950000000</v>
      </c>
      <c r="P18" s="26"/>
      <c r="Q18" s="26"/>
      <c r="R18" s="26"/>
      <c r="S18" s="26"/>
      <c r="T18" s="26"/>
      <c r="U18" s="26"/>
      <c r="V18" s="26">
        <v>1</v>
      </c>
      <c r="W18" s="27">
        <f>W19</f>
        <v>9366186865</v>
      </c>
      <c r="X18" s="26">
        <v>1</v>
      </c>
      <c r="Y18" s="27">
        <f>Y19</f>
        <v>8733935143</v>
      </c>
      <c r="Z18" s="26"/>
      <c r="AA18" s="26"/>
      <c r="AB18" s="26"/>
      <c r="AC18" s="26"/>
      <c r="AD18" s="26"/>
      <c r="AE18" s="26"/>
      <c r="AF18" s="222">
        <f>V18/L18*100%</f>
        <v>1</v>
      </c>
      <c r="AG18" s="222">
        <f>W18/M18*100%</f>
        <v>0.97847286322442473</v>
      </c>
      <c r="AH18" s="222">
        <f>X18/N18*100%</f>
        <v>1</v>
      </c>
      <c r="AI18" s="222">
        <f>Y18/O18*100%</f>
        <v>0.97585867519553071</v>
      </c>
      <c r="AJ18" s="26"/>
      <c r="AK18" s="26"/>
      <c r="AL18" s="26"/>
      <c r="AM18" s="26"/>
      <c r="AN18" s="26"/>
      <c r="AO18" s="26"/>
      <c r="AP18" s="28"/>
    </row>
    <row r="19" spans="1:42" s="10" customFormat="1" ht="57.75" customHeight="1">
      <c r="A19" s="890"/>
      <c r="B19" s="891"/>
      <c r="C19" s="201"/>
      <c r="D19" s="894"/>
      <c r="E19" s="895"/>
      <c r="F19" s="29" t="s">
        <v>10</v>
      </c>
      <c r="G19" s="30" t="s">
        <v>11</v>
      </c>
      <c r="H19" s="31">
        <v>1</v>
      </c>
      <c r="I19" s="31"/>
      <c r="J19" s="31">
        <v>1</v>
      </c>
      <c r="K19" s="216">
        <f>M19+O19+Q19+S19+U19</f>
        <v>18522250000</v>
      </c>
      <c r="L19" s="79">
        <v>1</v>
      </c>
      <c r="M19" s="55">
        <f>'[11]LAP SPJ ADMIN DES-PERUBH oke'!$Q$16</f>
        <v>9572250000</v>
      </c>
      <c r="N19" s="79">
        <v>1</v>
      </c>
      <c r="O19" s="55">
        <f>'[12]LAP SPJ ADMINISTRATIF DESEMBER'!$E$26</f>
        <v>8950000000</v>
      </c>
      <c r="P19" s="32"/>
      <c r="Q19" s="32"/>
      <c r="R19" s="32"/>
      <c r="S19" s="32"/>
      <c r="T19" s="32"/>
      <c r="U19" s="32"/>
      <c r="V19" s="32">
        <v>1</v>
      </c>
      <c r="W19" s="33">
        <v>9366186865</v>
      </c>
      <c r="X19" s="32">
        <v>1</v>
      </c>
      <c r="Y19" s="33">
        <f>'[12]LAP SPJ ADMINISTRATIF DESEMBER'!$O$26</f>
        <v>8733935143</v>
      </c>
      <c r="Z19" s="32"/>
      <c r="AA19" s="32"/>
      <c r="AB19" s="32"/>
      <c r="AC19" s="32"/>
      <c r="AD19" s="32"/>
      <c r="AE19" s="32"/>
      <c r="AF19" s="227">
        <f>V19/L19*100%</f>
        <v>1</v>
      </c>
      <c r="AG19" s="227">
        <f>W19/M19*100%</f>
        <v>0.97847286322442473</v>
      </c>
      <c r="AH19" s="227">
        <f t="shared" ref="AH19:AH68" si="0">X19/N19*100%</f>
        <v>1</v>
      </c>
      <c r="AI19" s="227">
        <f t="shared" ref="AI19:AI68" si="1">Y19/O19*100%</f>
        <v>0.97585867519553071</v>
      </c>
      <c r="AJ19" s="32"/>
      <c r="AK19" s="32"/>
      <c r="AL19" s="32"/>
      <c r="AM19" s="32"/>
      <c r="AN19" s="32"/>
      <c r="AO19" s="32"/>
      <c r="AP19" s="34"/>
    </row>
    <row r="20" spans="1:42" s="10" customFormat="1" ht="45" customHeight="1">
      <c r="A20" s="890"/>
      <c r="B20" s="891"/>
      <c r="C20" s="201"/>
      <c r="D20" s="894"/>
      <c r="E20" s="895"/>
      <c r="F20" s="35" t="s">
        <v>12</v>
      </c>
      <c r="G20" s="24"/>
      <c r="H20" s="25">
        <v>1</v>
      </c>
      <c r="I20" s="25"/>
      <c r="J20" s="25">
        <v>1</v>
      </c>
      <c r="K20" s="209">
        <f>K21+K32+K40+K42+K45+K52</f>
        <v>24854599450</v>
      </c>
      <c r="L20" s="208">
        <v>1</v>
      </c>
      <c r="M20" s="209">
        <f>M21+M32+M40+M42+M45+M52</f>
        <v>12403244800</v>
      </c>
      <c r="N20" s="208">
        <v>1</v>
      </c>
      <c r="O20" s="209">
        <f>O21+O32+O40+O42+O45+O52</f>
        <v>12651304650</v>
      </c>
      <c r="P20" s="26"/>
      <c r="Q20" s="26"/>
      <c r="R20" s="26"/>
      <c r="S20" s="26"/>
      <c r="T20" s="26"/>
      <c r="U20" s="26"/>
      <c r="V20" s="26">
        <v>1</v>
      </c>
      <c r="W20" s="36">
        <f>W21+W32+W40+W42+W45+W52</f>
        <v>9351043796</v>
      </c>
      <c r="X20" s="26">
        <v>1</v>
      </c>
      <c r="Y20" s="36">
        <f>Y21+Y32+Y40+Y42+Y45+Y52</f>
        <v>11368120661.200001</v>
      </c>
      <c r="Z20" s="26"/>
      <c r="AA20" s="26"/>
      <c r="AB20" s="26"/>
      <c r="AC20" s="26"/>
      <c r="AD20" s="26"/>
      <c r="AE20" s="26"/>
      <c r="AF20" s="222">
        <f>V20/L20*100%</f>
        <v>1</v>
      </c>
      <c r="AG20" s="222">
        <f>W20/M20*100%</f>
        <v>0.75391915154331224</v>
      </c>
      <c r="AH20" s="222">
        <f t="shared" si="0"/>
        <v>1</v>
      </c>
      <c r="AI20" s="222">
        <f t="shared" si="1"/>
        <v>0.89857299114206379</v>
      </c>
      <c r="AJ20" s="26"/>
      <c r="AK20" s="26"/>
      <c r="AL20" s="26"/>
      <c r="AM20" s="26"/>
      <c r="AN20" s="26"/>
      <c r="AO20" s="26"/>
      <c r="AP20" s="28"/>
    </row>
    <row r="21" spans="1:42" s="10" customFormat="1" ht="60.75" customHeight="1">
      <c r="A21" s="890"/>
      <c r="B21" s="891"/>
      <c r="C21" s="201">
        <v>1</v>
      </c>
      <c r="D21" s="899" t="s">
        <v>239</v>
      </c>
      <c r="E21" s="900"/>
      <c r="F21" s="37" t="s">
        <v>13</v>
      </c>
      <c r="G21" s="38" t="s">
        <v>14</v>
      </c>
      <c r="H21" s="39">
        <v>1</v>
      </c>
      <c r="I21" s="39"/>
      <c r="J21" s="39">
        <v>1</v>
      </c>
      <c r="K21" s="211">
        <f>SUM(K22:K31)</f>
        <v>3933831700</v>
      </c>
      <c r="L21" s="210">
        <v>1</v>
      </c>
      <c r="M21" s="211">
        <f>SUM(M22:M31)</f>
        <v>2196863300</v>
      </c>
      <c r="N21" s="210">
        <v>1</v>
      </c>
      <c r="O21" s="211">
        <f>SUM(O22:O31)</f>
        <v>1736968400</v>
      </c>
      <c r="P21" s="39"/>
      <c r="Q21" s="39"/>
      <c r="R21" s="39"/>
      <c r="S21" s="39"/>
      <c r="T21" s="39"/>
      <c r="U21" s="39"/>
      <c r="V21" s="39">
        <v>1</v>
      </c>
      <c r="W21" s="40">
        <f>SUM(W22:W31)</f>
        <v>1932016596</v>
      </c>
      <c r="X21" s="39">
        <v>1</v>
      </c>
      <c r="Y21" s="40">
        <f>SUM(Y22:Y31)</f>
        <v>1477023713</v>
      </c>
      <c r="Z21" s="39"/>
      <c r="AA21" s="39"/>
      <c r="AB21" s="39"/>
      <c r="AC21" s="39"/>
      <c r="AD21" s="39"/>
      <c r="AE21" s="39"/>
      <c r="AF21" s="230">
        <f t="shared" ref="AF21" si="2">V21/L21*100%</f>
        <v>1</v>
      </c>
      <c r="AG21" s="230">
        <f t="shared" ref="AG21" si="3">W21/M21*100%</f>
        <v>0.87944324801638774</v>
      </c>
      <c r="AH21" s="230">
        <f t="shared" si="0"/>
        <v>1</v>
      </c>
      <c r="AI21" s="230">
        <f t="shared" si="1"/>
        <v>0.8503457593126047</v>
      </c>
      <c r="AJ21" s="39"/>
      <c r="AK21" s="39"/>
      <c r="AL21" s="39"/>
      <c r="AM21" s="39"/>
      <c r="AN21" s="39"/>
      <c r="AO21" s="39"/>
      <c r="AP21" s="41"/>
    </row>
    <row r="22" spans="1:42" s="10" customFormat="1" ht="55.5" customHeight="1">
      <c r="A22" s="890"/>
      <c r="B22" s="891"/>
      <c r="C22" s="201"/>
      <c r="D22" s="901"/>
      <c r="E22" s="902"/>
      <c r="F22" s="42" t="s">
        <v>15</v>
      </c>
      <c r="G22" s="43" t="s">
        <v>16</v>
      </c>
      <c r="H22" s="44">
        <v>1</v>
      </c>
      <c r="I22" s="44"/>
      <c r="J22" s="44">
        <v>1</v>
      </c>
      <c r="K22" s="216">
        <f t="shared" ref="K22:K70" si="4">M22+O22+Q22+S22+U22</f>
        <v>16410000</v>
      </c>
      <c r="L22" s="44">
        <v>1</v>
      </c>
      <c r="M22" s="45">
        <f>'[11]LAP SPJ ADMIN DES-PERUBH oke'!$Q$34</f>
        <v>8670000</v>
      </c>
      <c r="N22" s="44">
        <v>1</v>
      </c>
      <c r="O22" s="56">
        <f>'[12]LAP SPJ ADMINISTRATIF DESEMBER'!$E$94</f>
        <v>7740000</v>
      </c>
      <c r="P22" s="44"/>
      <c r="Q22" s="44"/>
      <c r="R22" s="44"/>
      <c r="S22" s="44"/>
      <c r="T22" s="44"/>
      <c r="U22" s="44"/>
      <c r="V22" s="44">
        <v>1</v>
      </c>
      <c r="W22" s="45">
        <f>'[11]LAP SPJ ADMIN DES-PERUBH oke'!$AA$34</f>
        <v>7461000</v>
      </c>
      <c r="X22" s="44">
        <v>1</v>
      </c>
      <c r="Y22" s="46">
        <f>'[12]LAP SPJ ADMINISTRATIF DESEMBER'!$O$94</f>
        <v>7152000</v>
      </c>
      <c r="Z22" s="44"/>
      <c r="AA22" s="44"/>
      <c r="AB22" s="44"/>
      <c r="AC22" s="44"/>
      <c r="AD22" s="44"/>
      <c r="AE22" s="44"/>
      <c r="AF22" s="227">
        <f t="shared" ref="AF22:AF32" si="5">V22/L22*100%</f>
        <v>1</v>
      </c>
      <c r="AG22" s="227">
        <f t="shared" ref="AG22:AG32" si="6">W22/M22*100%</f>
        <v>0.86055363321799305</v>
      </c>
      <c r="AH22" s="227">
        <f t="shared" si="0"/>
        <v>1</v>
      </c>
      <c r="AI22" s="227">
        <f t="shared" si="1"/>
        <v>0.92403100775193803</v>
      </c>
      <c r="AJ22" s="44"/>
      <c r="AK22" s="44"/>
      <c r="AL22" s="44"/>
      <c r="AM22" s="44"/>
      <c r="AN22" s="44"/>
      <c r="AO22" s="44"/>
      <c r="AP22" s="22"/>
    </row>
    <row r="23" spans="1:42" s="10" customFormat="1" ht="55.5" customHeight="1">
      <c r="A23" s="890"/>
      <c r="B23" s="891"/>
      <c r="C23" s="201"/>
      <c r="D23" s="901"/>
      <c r="E23" s="902"/>
      <c r="F23" s="42" t="s">
        <v>17</v>
      </c>
      <c r="G23" s="43" t="s">
        <v>18</v>
      </c>
      <c r="H23" s="44">
        <v>1</v>
      </c>
      <c r="I23" s="44"/>
      <c r="J23" s="44">
        <v>1</v>
      </c>
      <c r="K23" s="216">
        <f t="shared" si="4"/>
        <v>302479400</v>
      </c>
      <c r="L23" s="44">
        <v>1</v>
      </c>
      <c r="M23" s="45">
        <f>'[11]LAP SPJ ADMIN DES-PERUBH oke'!$Q$39</f>
        <v>126980000</v>
      </c>
      <c r="N23" s="44">
        <v>1</v>
      </c>
      <c r="O23" s="56">
        <f>'[12]LAP SPJ ADMINISTRATIF DESEMBER'!$E$103</f>
        <v>175499400</v>
      </c>
      <c r="P23" s="44"/>
      <c r="Q23" s="44"/>
      <c r="R23" s="44"/>
      <c r="S23" s="44"/>
      <c r="T23" s="44"/>
      <c r="U23" s="44"/>
      <c r="V23" s="44">
        <v>1</v>
      </c>
      <c r="W23" s="45">
        <f>'[11]LAP SPJ ADMIN DES-PERUBH oke'!$AA$39</f>
        <v>62925766</v>
      </c>
      <c r="X23" s="44">
        <v>1</v>
      </c>
      <c r="Y23" s="46">
        <f>'[12]LAP SPJ ADMINISTRATIF DESEMBER'!$O$103</f>
        <v>77385661</v>
      </c>
      <c r="Z23" s="44"/>
      <c r="AA23" s="44"/>
      <c r="AB23" s="44"/>
      <c r="AC23" s="44"/>
      <c r="AD23" s="44"/>
      <c r="AE23" s="44"/>
      <c r="AF23" s="227">
        <f t="shared" si="5"/>
        <v>1</v>
      </c>
      <c r="AG23" s="227">
        <f t="shared" si="6"/>
        <v>0.49555651283666718</v>
      </c>
      <c r="AH23" s="227">
        <f t="shared" si="0"/>
        <v>1</v>
      </c>
      <c r="AI23" s="227">
        <f t="shared" si="1"/>
        <v>0.44094544482773163</v>
      </c>
      <c r="AJ23" s="44"/>
      <c r="AK23" s="44"/>
      <c r="AL23" s="44"/>
      <c r="AM23" s="44"/>
      <c r="AN23" s="44"/>
      <c r="AO23" s="44"/>
      <c r="AP23" s="22"/>
    </row>
    <row r="24" spans="1:42" s="10" customFormat="1" ht="55.5" customHeight="1">
      <c r="A24" s="47"/>
      <c r="B24" s="48"/>
      <c r="C24" s="201"/>
      <c r="D24" s="901"/>
      <c r="E24" s="902"/>
      <c r="F24" s="42" t="s">
        <v>19</v>
      </c>
      <c r="G24" s="49" t="s">
        <v>20</v>
      </c>
      <c r="H24" s="44">
        <v>1</v>
      </c>
      <c r="I24" s="44"/>
      <c r="J24" s="44">
        <v>1</v>
      </c>
      <c r="K24" s="216">
        <f t="shared" si="4"/>
        <v>542391000</v>
      </c>
      <c r="L24" s="44">
        <v>1</v>
      </c>
      <c r="M24" s="45">
        <f>'[11]LAP SPJ ADMIN DES-PERUBH oke'!$Q$46</f>
        <v>311871000</v>
      </c>
      <c r="N24" s="44">
        <v>1</v>
      </c>
      <c r="O24" s="56">
        <f>'[12]LAP SPJ ADMINISTRATIF DESEMBER'!$E$44</f>
        <v>230520000</v>
      </c>
      <c r="P24" s="44"/>
      <c r="Q24" s="44"/>
      <c r="R24" s="44"/>
      <c r="S24" s="44"/>
      <c r="T24" s="44"/>
      <c r="U24" s="44"/>
      <c r="V24" s="44">
        <v>1</v>
      </c>
      <c r="W24" s="45">
        <f>'[11]LAP SPJ ADMIN DES-PERUBH oke'!$AA$46</f>
        <v>226271938</v>
      </c>
      <c r="X24" s="44">
        <v>1</v>
      </c>
      <c r="Y24" s="46">
        <f>'[12]LAP SPJ ADMINISTRATIF DESEMBER'!$O$44</f>
        <v>194313740</v>
      </c>
      <c r="Z24" s="44"/>
      <c r="AA24" s="44"/>
      <c r="AB24" s="44"/>
      <c r="AC24" s="44"/>
      <c r="AD24" s="44"/>
      <c r="AE24" s="44"/>
      <c r="AF24" s="227">
        <f t="shared" si="5"/>
        <v>1</v>
      </c>
      <c r="AG24" s="227">
        <f t="shared" si="6"/>
        <v>0.7255305494900135</v>
      </c>
      <c r="AH24" s="227">
        <f t="shared" si="0"/>
        <v>1</v>
      </c>
      <c r="AI24" s="227">
        <f t="shared" si="1"/>
        <v>0.84293657817109147</v>
      </c>
      <c r="AJ24" s="44"/>
      <c r="AK24" s="44"/>
      <c r="AL24" s="44"/>
      <c r="AM24" s="44"/>
      <c r="AN24" s="44"/>
      <c r="AO24" s="44"/>
      <c r="AP24" s="22"/>
    </row>
    <row r="25" spans="1:42" s="10" customFormat="1" ht="131.25" customHeight="1">
      <c r="A25" s="47"/>
      <c r="B25" s="48"/>
      <c r="C25" s="201"/>
      <c r="D25" s="901"/>
      <c r="E25" s="902"/>
      <c r="F25" s="42" t="s">
        <v>21</v>
      </c>
      <c r="G25" s="49" t="s">
        <v>22</v>
      </c>
      <c r="H25" s="44">
        <v>1</v>
      </c>
      <c r="I25" s="44"/>
      <c r="J25" s="44">
        <v>1</v>
      </c>
      <c r="K25" s="216">
        <f t="shared" si="4"/>
        <v>1269121000</v>
      </c>
      <c r="L25" s="44">
        <v>1</v>
      </c>
      <c r="M25" s="45">
        <f>'[11]LAP SPJ ADMIN DES-PERUBH oke'!$Q$57</f>
        <v>649781000</v>
      </c>
      <c r="N25" s="44">
        <v>1</v>
      </c>
      <c r="O25" s="56">
        <f>'[12]LAP SPJ ADMINISTRATIF DESEMBER'!$E$55</f>
        <v>619340000</v>
      </c>
      <c r="P25" s="44"/>
      <c r="Q25" s="44"/>
      <c r="R25" s="44"/>
      <c r="S25" s="44"/>
      <c r="T25" s="44"/>
      <c r="U25" s="44"/>
      <c r="V25" s="44">
        <v>1</v>
      </c>
      <c r="W25" s="45">
        <f>'[11]LAP SPJ ADMIN DES-PERUBH oke'!$AA$57</f>
        <v>603050704</v>
      </c>
      <c r="X25" s="44">
        <v>1</v>
      </c>
      <c r="Y25" s="46">
        <f>'[12]LAP SPJ ADMINISTRATIF DESEMBER'!$O$55</f>
        <v>547678044</v>
      </c>
      <c r="Z25" s="44"/>
      <c r="AA25" s="44"/>
      <c r="AB25" s="44"/>
      <c r="AC25" s="44"/>
      <c r="AD25" s="44"/>
      <c r="AE25" s="44"/>
      <c r="AF25" s="227">
        <f t="shared" si="5"/>
        <v>1</v>
      </c>
      <c r="AG25" s="227">
        <f t="shared" si="6"/>
        <v>0.92808300642831965</v>
      </c>
      <c r="AH25" s="227">
        <f t="shared" si="0"/>
        <v>1</v>
      </c>
      <c r="AI25" s="227">
        <f t="shared" si="1"/>
        <v>0.88429302806213061</v>
      </c>
      <c r="AJ25" s="44"/>
      <c r="AK25" s="44"/>
      <c r="AL25" s="44"/>
      <c r="AM25" s="44"/>
      <c r="AN25" s="44"/>
      <c r="AO25" s="44"/>
      <c r="AP25" s="22"/>
    </row>
    <row r="26" spans="1:42" s="10" customFormat="1" ht="55.5" customHeight="1">
      <c r="A26" s="47"/>
      <c r="B26" s="48"/>
      <c r="C26" s="201"/>
      <c r="D26" s="901"/>
      <c r="E26" s="902"/>
      <c r="F26" s="42" t="s">
        <v>23</v>
      </c>
      <c r="G26" s="49" t="s">
        <v>24</v>
      </c>
      <c r="H26" s="44">
        <v>1</v>
      </c>
      <c r="I26" s="44"/>
      <c r="J26" s="44">
        <v>1</v>
      </c>
      <c r="K26" s="216">
        <f t="shared" si="4"/>
        <v>144570000</v>
      </c>
      <c r="L26" s="44">
        <v>1</v>
      </c>
      <c r="M26" s="45">
        <f>'[11]LAP SPJ ADMIN DES-PERUBH oke'!$Q$64</f>
        <v>86720000</v>
      </c>
      <c r="N26" s="44">
        <v>1</v>
      </c>
      <c r="O26" s="56">
        <f>'[12]LAP SPJ ADMINISTRATIF DESEMBER'!$E$93</f>
        <v>57850000</v>
      </c>
      <c r="P26" s="44"/>
      <c r="Q26" s="44"/>
      <c r="R26" s="44"/>
      <c r="S26" s="44"/>
      <c r="T26" s="44"/>
      <c r="U26" s="44"/>
      <c r="V26" s="44">
        <v>1</v>
      </c>
      <c r="W26" s="45">
        <f>'[11]LAP SPJ ADMIN DES-PERUBH oke'!$AA$64</f>
        <v>85077755</v>
      </c>
      <c r="X26" s="44">
        <v>1</v>
      </c>
      <c r="Y26" s="46">
        <f>'[12]LAP SPJ ADMINISTRATIF DESEMBER'!$O$93</f>
        <v>57100800</v>
      </c>
      <c r="Z26" s="44"/>
      <c r="AA26" s="44"/>
      <c r="AB26" s="44"/>
      <c r="AC26" s="44"/>
      <c r="AD26" s="44"/>
      <c r="AE26" s="44"/>
      <c r="AF26" s="227">
        <f t="shared" si="5"/>
        <v>1</v>
      </c>
      <c r="AG26" s="227">
        <f t="shared" si="6"/>
        <v>0.98106267297047967</v>
      </c>
      <c r="AH26" s="227">
        <f t="shared" si="0"/>
        <v>1</v>
      </c>
      <c r="AI26" s="227">
        <f t="shared" si="1"/>
        <v>0.98704926534140014</v>
      </c>
      <c r="AJ26" s="44"/>
      <c r="AK26" s="44"/>
      <c r="AL26" s="44"/>
      <c r="AM26" s="44"/>
      <c r="AN26" s="44"/>
      <c r="AO26" s="44"/>
      <c r="AP26" s="22"/>
    </row>
    <row r="27" spans="1:42" s="10" customFormat="1" ht="55.5" customHeight="1">
      <c r="A27" s="47"/>
      <c r="B27" s="48"/>
      <c r="C27" s="201"/>
      <c r="D27" s="901"/>
      <c r="E27" s="902"/>
      <c r="F27" s="42" t="s">
        <v>25</v>
      </c>
      <c r="G27" s="43" t="s">
        <v>26</v>
      </c>
      <c r="H27" s="44">
        <v>1</v>
      </c>
      <c r="I27" s="44"/>
      <c r="J27" s="44">
        <v>1</v>
      </c>
      <c r="K27" s="216">
        <f t="shared" si="4"/>
        <v>91089800</v>
      </c>
      <c r="L27" s="44">
        <v>1</v>
      </c>
      <c r="M27" s="45">
        <f>'[11]LAP SPJ ADMIN DES-PERUBH oke'!$Q$69</f>
        <v>51139800</v>
      </c>
      <c r="N27" s="44">
        <v>1</v>
      </c>
      <c r="O27" s="56">
        <f>'[12]LAP SPJ ADMINISTRATIF DESEMBER'!$E$95</f>
        <v>39950000</v>
      </c>
      <c r="P27" s="44"/>
      <c r="Q27" s="44"/>
      <c r="R27" s="44"/>
      <c r="S27" s="44"/>
      <c r="T27" s="44"/>
      <c r="U27" s="44"/>
      <c r="V27" s="44">
        <v>1</v>
      </c>
      <c r="W27" s="45">
        <f>'[11]LAP SPJ ADMIN DES-PERUBH oke'!$AA$69</f>
        <v>40087000</v>
      </c>
      <c r="X27" s="44">
        <v>1</v>
      </c>
      <c r="Y27" s="46">
        <f>'[12]LAP SPJ ADMINISTRATIF DESEMBER'!$O$95</f>
        <v>30605900</v>
      </c>
      <c r="Z27" s="44"/>
      <c r="AA27" s="44"/>
      <c r="AB27" s="44"/>
      <c r="AC27" s="44"/>
      <c r="AD27" s="44"/>
      <c r="AE27" s="44"/>
      <c r="AF27" s="227">
        <f t="shared" si="5"/>
        <v>1</v>
      </c>
      <c r="AG27" s="227">
        <f t="shared" si="6"/>
        <v>0.7838708794324577</v>
      </c>
      <c r="AH27" s="227">
        <f t="shared" si="0"/>
        <v>1</v>
      </c>
      <c r="AI27" s="227">
        <f t="shared" si="1"/>
        <v>0.76610513141426784</v>
      </c>
      <c r="AJ27" s="44"/>
      <c r="AK27" s="44"/>
      <c r="AL27" s="44"/>
      <c r="AM27" s="44"/>
      <c r="AN27" s="44"/>
      <c r="AO27" s="44"/>
      <c r="AP27" s="22"/>
    </row>
    <row r="28" spans="1:42" s="10" customFormat="1" ht="55.5" customHeight="1">
      <c r="A28" s="47"/>
      <c r="B28" s="48"/>
      <c r="C28" s="201"/>
      <c r="D28" s="901"/>
      <c r="E28" s="902"/>
      <c r="F28" s="42" t="s">
        <v>27</v>
      </c>
      <c r="G28" s="49" t="s">
        <v>28</v>
      </c>
      <c r="H28" s="44">
        <v>1</v>
      </c>
      <c r="I28" s="44"/>
      <c r="J28" s="44">
        <v>1</v>
      </c>
      <c r="K28" s="216">
        <f t="shared" si="4"/>
        <v>59870000</v>
      </c>
      <c r="L28" s="44">
        <v>1</v>
      </c>
      <c r="M28" s="45">
        <f>'[11]LAP SPJ ADMIN DES-PERUBH oke'!$Q$75</f>
        <v>35750000</v>
      </c>
      <c r="N28" s="44">
        <v>1</v>
      </c>
      <c r="O28" s="56">
        <f>'[12]LAP SPJ ADMINISTRATIF DESEMBER'!$E$102</f>
        <v>24120000</v>
      </c>
      <c r="P28" s="44"/>
      <c r="Q28" s="44"/>
      <c r="R28" s="44"/>
      <c r="S28" s="44"/>
      <c r="T28" s="44"/>
      <c r="U28" s="44"/>
      <c r="V28" s="44">
        <v>1</v>
      </c>
      <c r="W28" s="45">
        <f>'[11]LAP SPJ ADMIN DES-PERUBH oke'!$AA$75</f>
        <v>31507500</v>
      </c>
      <c r="X28" s="44">
        <v>1</v>
      </c>
      <c r="Y28" s="46">
        <f>'[12]LAP SPJ ADMINISTRATIF DESEMBER'!$O$102</f>
        <v>23400500</v>
      </c>
      <c r="Z28" s="44"/>
      <c r="AA28" s="44"/>
      <c r="AB28" s="44"/>
      <c r="AC28" s="44"/>
      <c r="AD28" s="44"/>
      <c r="AE28" s="44"/>
      <c r="AF28" s="227">
        <f t="shared" si="5"/>
        <v>1</v>
      </c>
      <c r="AG28" s="227">
        <f t="shared" si="6"/>
        <v>0.88132867132867132</v>
      </c>
      <c r="AH28" s="227">
        <f t="shared" si="0"/>
        <v>1</v>
      </c>
      <c r="AI28" s="227">
        <f t="shared" si="1"/>
        <v>0.97016998341625205</v>
      </c>
      <c r="AJ28" s="44"/>
      <c r="AK28" s="44"/>
      <c r="AL28" s="44"/>
      <c r="AM28" s="44"/>
      <c r="AN28" s="44"/>
      <c r="AO28" s="44"/>
      <c r="AP28" s="22"/>
    </row>
    <row r="29" spans="1:42" s="10" customFormat="1" ht="55.5" customHeight="1">
      <c r="A29" s="47"/>
      <c r="B29" s="48"/>
      <c r="C29" s="201"/>
      <c r="D29" s="901"/>
      <c r="E29" s="902"/>
      <c r="F29" s="42" t="s">
        <v>29</v>
      </c>
      <c r="G29" s="49" t="s">
        <v>30</v>
      </c>
      <c r="H29" s="44">
        <v>1</v>
      </c>
      <c r="I29" s="44"/>
      <c r="J29" s="44">
        <v>1</v>
      </c>
      <c r="K29" s="216">
        <f t="shared" si="4"/>
        <v>345540500</v>
      </c>
      <c r="L29" s="44">
        <v>1</v>
      </c>
      <c r="M29" s="45">
        <f>'[11]LAP SPJ ADMIN DES-PERUBH oke'!$Q$80</f>
        <v>252831500</v>
      </c>
      <c r="N29" s="44">
        <v>1</v>
      </c>
      <c r="O29" s="56">
        <f>'[12]LAP SPJ ADMINISTRATIF DESEMBER'!$E$66</f>
        <v>92709000</v>
      </c>
      <c r="P29" s="44"/>
      <c r="Q29" s="44"/>
      <c r="R29" s="44"/>
      <c r="S29" s="44"/>
      <c r="T29" s="44"/>
      <c r="U29" s="44"/>
      <c r="V29" s="44">
        <v>1</v>
      </c>
      <c r="W29" s="45">
        <f>'[11]LAP SPJ ADMIN DES-PERUBH oke'!$AA$80</f>
        <v>235770750</v>
      </c>
      <c r="X29" s="44">
        <v>1</v>
      </c>
      <c r="Y29" s="46">
        <f>'[12]LAP SPJ ADMINISTRATIF DESEMBER'!$O$71</f>
        <v>81311150</v>
      </c>
      <c r="Z29" s="44"/>
      <c r="AA29" s="44"/>
      <c r="AB29" s="44"/>
      <c r="AC29" s="44"/>
      <c r="AD29" s="44"/>
      <c r="AE29" s="44"/>
      <c r="AF29" s="227">
        <f t="shared" si="5"/>
        <v>1</v>
      </c>
      <c r="AG29" s="227">
        <f t="shared" si="6"/>
        <v>0.93252126416210002</v>
      </c>
      <c r="AH29" s="227">
        <f t="shared" si="0"/>
        <v>1</v>
      </c>
      <c r="AI29" s="227">
        <f t="shared" si="1"/>
        <v>0.87705778295526859</v>
      </c>
      <c r="AJ29" s="44"/>
      <c r="AK29" s="44"/>
      <c r="AL29" s="44"/>
      <c r="AM29" s="44"/>
      <c r="AN29" s="44"/>
      <c r="AO29" s="44"/>
      <c r="AP29" s="22"/>
    </row>
    <row r="30" spans="1:42" s="10" customFormat="1" ht="71.25" customHeight="1">
      <c r="A30" s="47"/>
      <c r="B30" s="48"/>
      <c r="C30" s="201"/>
      <c r="D30" s="901"/>
      <c r="E30" s="902"/>
      <c r="F30" s="42" t="s">
        <v>31</v>
      </c>
      <c r="G30" s="49" t="s">
        <v>32</v>
      </c>
      <c r="H30" s="44">
        <v>1</v>
      </c>
      <c r="I30" s="44"/>
      <c r="J30" s="44">
        <v>1</v>
      </c>
      <c r="K30" s="216">
        <f t="shared" si="4"/>
        <v>767360000</v>
      </c>
      <c r="L30" s="44">
        <v>1</v>
      </c>
      <c r="M30" s="45">
        <f>'[11]LAP SPJ ADMIN DES-PERUBH oke'!$Q$89</f>
        <v>368120000</v>
      </c>
      <c r="N30" s="44">
        <v>1</v>
      </c>
      <c r="O30" s="56">
        <f>'[12]LAP SPJ ADMINISTRATIF DESEMBER'!$E$82</f>
        <v>399240000</v>
      </c>
      <c r="P30" s="44"/>
      <c r="Q30" s="44"/>
      <c r="R30" s="44"/>
      <c r="S30" s="44"/>
      <c r="T30" s="44"/>
      <c r="U30" s="44"/>
      <c r="V30" s="44">
        <v>1</v>
      </c>
      <c r="W30" s="45">
        <f>'[11]LAP SPJ ADMIN DES-PERUBH oke'!$AA$89</f>
        <v>338023896</v>
      </c>
      <c r="X30" s="44">
        <v>1</v>
      </c>
      <c r="Y30" s="46">
        <f>'[12]LAP SPJ ADMINISTRATIF DESEMBER'!$O$82</f>
        <v>370608872</v>
      </c>
      <c r="Z30" s="44"/>
      <c r="AA30" s="44"/>
      <c r="AB30" s="44"/>
      <c r="AC30" s="44"/>
      <c r="AD30" s="44"/>
      <c r="AE30" s="44"/>
      <c r="AF30" s="227">
        <f t="shared" si="5"/>
        <v>1</v>
      </c>
      <c r="AG30" s="227">
        <f t="shared" si="6"/>
        <v>0.91824376833641208</v>
      </c>
      <c r="AH30" s="227">
        <f t="shared" si="0"/>
        <v>1</v>
      </c>
      <c r="AI30" s="227">
        <f t="shared" si="1"/>
        <v>0.92828592325418291</v>
      </c>
      <c r="AJ30" s="44"/>
      <c r="AK30" s="44"/>
      <c r="AL30" s="44"/>
      <c r="AM30" s="44"/>
      <c r="AN30" s="44"/>
      <c r="AO30" s="44"/>
      <c r="AP30" s="22"/>
    </row>
    <row r="31" spans="1:42" s="10" customFormat="1" ht="55.5" customHeight="1">
      <c r="A31" s="47"/>
      <c r="B31" s="48"/>
      <c r="C31" s="201"/>
      <c r="D31" s="901"/>
      <c r="E31" s="902"/>
      <c r="F31" s="42" t="s">
        <v>33</v>
      </c>
      <c r="G31" s="49" t="s">
        <v>34</v>
      </c>
      <c r="H31" s="44">
        <v>1</v>
      </c>
      <c r="I31" s="44"/>
      <c r="J31" s="44">
        <v>1</v>
      </c>
      <c r="K31" s="216">
        <f t="shared" si="4"/>
        <v>395000000</v>
      </c>
      <c r="L31" s="44">
        <v>1</v>
      </c>
      <c r="M31" s="45">
        <f>'[11]LAP SPJ ADMIN DES-PERUBH oke'!$Q$97</f>
        <v>305000000</v>
      </c>
      <c r="N31" s="44">
        <v>1</v>
      </c>
      <c r="O31" s="56">
        <f>'[12]LAP SPJ ADMINISTRATIF DESEMBER'!$E$76</f>
        <v>90000000</v>
      </c>
      <c r="P31" s="44"/>
      <c r="Q31" s="44"/>
      <c r="R31" s="44"/>
      <c r="S31" s="44"/>
      <c r="T31" s="44"/>
      <c r="U31" s="44"/>
      <c r="V31" s="44">
        <v>1</v>
      </c>
      <c r="W31" s="45">
        <f>'[11]LAP SPJ ADMIN DES-PERUBH oke'!$AA$97</f>
        <v>301840287</v>
      </c>
      <c r="X31" s="44">
        <v>1</v>
      </c>
      <c r="Y31" s="46">
        <f>'[12]LAP SPJ ADMINISTRATIF DESEMBER'!$O$76</f>
        <v>87467046</v>
      </c>
      <c r="Z31" s="44"/>
      <c r="AA31" s="44"/>
      <c r="AB31" s="44"/>
      <c r="AC31" s="44"/>
      <c r="AD31" s="44"/>
      <c r="AE31" s="44"/>
      <c r="AF31" s="227">
        <f t="shared" si="5"/>
        <v>1</v>
      </c>
      <c r="AG31" s="227">
        <f t="shared" si="6"/>
        <v>0.98964028524590164</v>
      </c>
      <c r="AH31" s="227">
        <f t="shared" si="0"/>
        <v>1</v>
      </c>
      <c r="AI31" s="227">
        <f t="shared" si="1"/>
        <v>0.97185606666666668</v>
      </c>
      <c r="AJ31" s="44"/>
      <c r="AK31" s="44"/>
      <c r="AL31" s="44"/>
      <c r="AM31" s="44"/>
      <c r="AN31" s="44"/>
      <c r="AO31" s="44"/>
      <c r="AP31" s="22"/>
    </row>
    <row r="32" spans="1:42" s="10" customFormat="1" ht="67.5" customHeight="1">
      <c r="A32" s="47"/>
      <c r="B32" s="48"/>
      <c r="C32" s="201">
        <v>2</v>
      </c>
      <c r="D32" s="901"/>
      <c r="E32" s="902"/>
      <c r="F32" s="50" t="s">
        <v>35</v>
      </c>
      <c r="G32" s="51" t="s">
        <v>36</v>
      </c>
      <c r="H32" s="52">
        <v>1</v>
      </c>
      <c r="I32" s="52"/>
      <c r="J32" s="52">
        <v>1</v>
      </c>
      <c r="K32" s="53">
        <f>SUM(K34:K39)</f>
        <v>692993000</v>
      </c>
      <c r="L32" s="52">
        <v>1</v>
      </c>
      <c r="M32" s="53">
        <f>SUM(M34:M39)</f>
        <v>431993000</v>
      </c>
      <c r="N32" s="52">
        <v>1</v>
      </c>
      <c r="O32" s="53">
        <f>SUM(O33:O39)</f>
        <v>460950000</v>
      </c>
      <c r="P32" s="52"/>
      <c r="Q32" s="52"/>
      <c r="R32" s="52"/>
      <c r="S32" s="52"/>
      <c r="T32" s="52"/>
      <c r="U32" s="52"/>
      <c r="V32" s="52">
        <v>1</v>
      </c>
      <c r="W32" s="53">
        <f>SUM(W34:W39)</f>
        <v>397435000</v>
      </c>
      <c r="X32" s="52">
        <v>1</v>
      </c>
      <c r="Y32" s="53">
        <f>SUM(Y33:Y39)</f>
        <v>421470400</v>
      </c>
      <c r="Z32" s="52"/>
      <c r="AA32" s="52"/>
      <c r="AB32" s="52"/>
      <c r="AC32" s="52"/>
      <c r="AD32" s="52"/>
      <c r="AE32" s="52"/>
      <c r="AF32" s="229">
        <f t="shared" si="5"/>
        <v>1</v>
      </c>
      <c r="AG32" s="229">
        <f t="shared" si="6"/>
        <v>0.92000333338734652</v>
      </c>
      <c r="AH32" s="229">
        <f t="shared" si="0"/>
        <v>1</v>
      </c>
      <c r="AI32" s="229">
        <f t="shared" si="1"/>
        <v>0.9143516650395922</v>
      </c>
      <c r="AJ32" s="52"/>
      <c r="AK32" s="52"/>
      <c r="AL32" s="52"/>
      <c r="AM32" s="52"/>
      <c r="AN32" s="52"/>
      <c r="AO32" s="52"/>
      <c r="AP32" s="54"/>
    </row>
    <row r="33" spans="1:76" s="10" customFormat="1" ht="67.5" customHeight="1">
      <c r="A33" s="47"/>
      <c r="B33" s="48"/>
      <c r="C33" s="201"/>
      <c r="D33" s="901"/>
      <c r="E33" s="902"/>
      <c r="F33" s="42" t="str">
        <f>'[12]LAP SPJ ADMINISTRATIF DESEMBER'!$D$110</f>
        <v>Pengadaan Kendaraan Dinas/Operasional</v>
      </c>
      <c r="G33" s="43" t="s">
        <v>37</v>
      </c>
      <c r="H33" s="44" t="s">
        <v>38</v>
      </c>
      <c r="I33" s="44"/>
      <c r="J33" s="44" t="s">
        <v>38</v>
      </c>
      <c r="K33" s="216">
        <f t="shared" si="4"/>
        <v>199950000</v>
      </c>
      <c r="L33" s="44" t="s">
        <v>38</v>
      </c>
      <c r="M33" s="55">
        <v>0</v>
      </c>
      <c r="N33" s="44">
        <v>1</v>
      </c>
      <c r="O33" s="56">
        <f>'[12]LAP SPJ ADMINISTRATIF DESEMBER'!$E$110</f>
        <v>199950000</v>
      </c>
      <c r="P33" s="44"/>
      <c r="Q33" s="44"/>
      <c r="R33" s="44"/>
      <c r="S33" s="44"/>
      <c r="T33" s="44"/>
      <c r="U33" s="44"/>
      <c r="V33" s="44" t="s">
        <v>38</v>
      </c>
      <c r="W33" s="55">
        <v>0</v>
      </c>
      <c r="X33" s="44">
        <v>1</v>
      </c>
      <c r="Y33" s="56">
        <f>'[12]LAP SPJ ADMINISTRATIF DESEMBER'!$O$110</f>
        <v>189150000</v>
      </c>
      <c r="Z33" s="44"/>
      <c r="AA33" s="44"/>
      <c r="AB33" s="44"/>
      <c r="AC33" s="44"/>
      <c r="AD33" s="44"/>
      <c r="AE33" s="44"/>
      <c r="AF33" s="227">
        <v>0</v>
      </c>
      <c r="AG33" s="227">
        <v>0</v>
      </c>
      <c r="AH33" s="227">
        <f t="shared" si="0"/>
        <v>1</v>
      </c>
      <c r="AI33" s="227">
        <f t="shared" si="1"/>
        <v>0.94598649662415601</v>
      </c>
      <c r="AJ33" s="44"/>
      <c r="AK33" s="44"/>
      <c r="AL33" s="44"/>
      <c r="AM33" s="44"/>
      <c r="AN33" s="44"/>
      <c r="AO33" s="44"/>
      <c r="AP33" s="22"/>
    </row>
    <row r="34" spans="1:76" s="10" customFormat="1" ht="68.25" customHeight="1">
      <c r="A34" s="47"/>
      <c r="B34" s="48"/>
      <c r="C34" s="201"/>
      <c r="D34" s="901"/>
      <c r="E34" s="902"/>
      <c r="F34" s="42" t="s">
        <v>39</v>
      </c>
      <c r="G34" s="43" t="s">
        <v>40</v>
      </c>
      <c r="H34" s="44">
        <v>1</v>
      </c>
      <c r="I34" s="44"/>
      <c r="J34" s="44">
        <v>1</v>
      </c>
      <c r="K34" s="216">
        <f t="shared" si="4"/>
        <v>89993000</v>
      </c>
      <c r="L34" s="44">
        <v>1</v>
      </c>
      <c r="M34" s="56">
        <f>'[11]LAP SPJ ADMIN DES-PERUBH oke'!$Q$105</f>
        <v>89993000</v>
      </c>
      <c r="N34" s="44">
        <v>1</v>
      </c>
      <c r="O34" s="56">
        <v>0</v>
      </c>
      <c r="P34" s="44"/>
      <c r="Q34" s="44"/>
      <c r="R34" s="44"/>
      <c r="S34" s="44"/>
      <c r="T34" s="44"/>
      <c r="U34" s="44"/>
      <c r="V34" s="44">
        <v>1</v>
      </c>
      <c r="W34" s="56">
        <f>'[11]LAP SPJ ADMIN DES-PERUBH oke'!$AA$105</f>
        <v>89493000</v>
      </c>
      <c r="X34" s="44">
        <v>1</v>
      </c>
      <c r="Y34" s="46">
        <v>0</v>
      </c>
      <c r="Z34" s="44"/>
      <c r="AA34" s="44"/>
      <c r="AB34" s="44"/>
      <c r="AC34" s="44"/>
      <c r="AD34" s="44"/>
      <c r="AE34" s="44"/>
      <c r="AF34" s="227">
        <f t="shared" ref="AF34:AF70" si="7">V34/L34*100%</f>
        <v>1</v>
      </c>
      <c r="AG34" s="227">
        <f t="shared" ref="AG34:AG70" si="8">W34/M34*100%</f>
        <v>0.99444401231206869</v>
      </c>
      <c r="AH34" s="227">
        <v>0</v>
      </c>
      <c r="AI34" s="227">
        <v>0</v>
      </c>
      <c r="AJ34" s="44"/>
      <c r="AK34" s="44"/>
      <c r="AL34" s="44"/>
      <c r="AM34" s="44"/>
      <c r="AN34" s="44"/>
      <c r="AO34" s="44"/>
      <c r="AP34" s="22"/>
    </row>
    <row r="35" spans="1:76" s="10" customFormat="1" ht="51" customHeight="1">
      <c r="A35" s="47"/>
      <c r="B35" s="48"/>
      <c r="C35" s="201"/>
      <c r="D35" s="901"/>
      <c r="E35" s="902"/>
      <c r="F35" s="42" t="s">
        <v>41</v>
      </c>
      <c r="G35" s="43" t="s">
        <v>42</v>
      </c>
      <c r="H35" s="44">
        <v>1</v>
      </c>
      <c r="I35" s="44"/>
      <c r="J35" s="44">
        <v>1</v>
      </c>
      <c r="K35" s="216">
        <f t="shared" si="4"/>
        <v>251250000</v>
      </c>
      <c r="L35" s="44">
        <v>1</v>
      </c>
      <c r="M35" s="56">
        <f>'[11]LAP SPJ ADMIN DES-PERUBH oke'!$Q$115</f>
        <v>106000000</v>
      </c>
      <c r="N35" s="44">
        <v>1</v>
      </c>
      <c r="O35" s="56">
        <f>'[12]LAP SPJ ADMINISTRATIF DESEMBER'!$E$129+'[12]LAP SPJ ADMINISTRATIF DESEMBER'!$E$131</f>
        <v>145250000</v>
      </c>
      <c r="P35" s="44"/>
      <c r="Q35" s="44"/>
      <c r="R35" s="44"/>
      <c r="S35" s="44"/>
      <c r="T35" s="44"/>
      <c r="U35" s="44"/>
      <c r="V35" s="44">
        <v>1</v>
      </c>
      <c r="W35" s="56">
        <f>'[11]LAP SPJ ADMIN DES-PERUBH oke'!$AA$115</f>
        <v>100493750</v>
      </c>
      <c r="X35" s="44">
        <v>1</v>
      </c>
      <c r="Y35" s="46">
        <f>'[12]LAP SPJ ADMINISTRATIF DESEMBER'!$O$128+'[12]LAP SPJ ADMINISTRATIF DESEMBER'!$O$130</f>
        <v>138169600</v>
      </c>
      <c r="Z35" s="44"/>
      <c r="AA35" s="44"/>
      <c r="AB35" s="44"/>
      <c r="AC35" s="44"/>
      <c r="AD35" s="44"/>
      <c r="AE35" s="44"/>
      <c r="AF35" s="227">
        <f t="shared" si="7"/>
        <v>1</v>
      </c>
      <c r="AG35" s="227">
        <f t="shared" si="8"/>
        <v>0.94805424528301885</v>
      </c>
      <c r="AH35" s="227">
        <f t="shared" si="0"/>
        <v>1</v>
      </c>
      <c r="AI35" s="227">
        <f t="shared" si="1"/>
        <v>0.95125370051635116</v>
      </c>
      <c r="AJ35" s="44"/>
      <c r="AK35" s="44"/>
      <c r="AL35" s="44"/>
      <c r="AM35" s="44"/>
      <c r="AN35" s="44"/>
      <c r="AO35" s="44"/>
      <c r="AP35" s="22"/>
    </row>
    <row r="36" spans="1:76" s="10" customFormat="1" ht="51" customHeight="1">
      <c r="A36" s="47"/>
      <c r="B36" s="48"/>
      <c r="C36" s="201"/>
      <c r="D36" s="901"/>
      <c r="E36" s="902"/>
      <c r="F36" s="42" t="s">
        <v>43</v>
      </c>
      <c r="G36" s="43" t="s">
        <v>44</v>
      </c>
      <c r="H36" s="44">
        <v>1</v>
      </c>
      <c r="I36" s="44"/>
      <c r="J36" s="44">
        <v>1</v>
      </c>
      <c r="K36" s="216">
        <f t="shared" si="4"/>
        <v>148250000</v>
      </c>
      <c r="L36" s="44">
        <v>1</v>
      </c>
      <c r="M36" s="56">
        <f>'[11]LAP SPJ ADMIN DES-PERUBH oke'!$Q$122</f>
        <v>32500000</v>
      </c>
      <c r="N36" s="44">
        <v>1</v>
      </c>
      <c r="O36" s="56">
        <f>'[12]LAP SPJ ADMINISTRATIF DESEMBER'!$E$133+'[12]LAP SPJ ADMINISTRATIF DESEMBER'!$E$127</f>
        <v>115750000</v>
      </c>
      <c r="P36" s="44"/>
      <c r="Q36" s="44"/>
      <c r="R36" s="44"/>
      <c r="S36" s="44"/>
      <c r="T36" s="44"/>
      <c r="U36" s="44"/>
      <c r="V36" s="44">
        <v>1</v>
      </c>
      <c r="W36" s="56">
        <f>'[11]LAP SPJ ADMIN DES-PERUBH oke'!$AA$122</f>
        <v>18001800</v>
      </c>
      <c r="X36" s="44">
        <v>1</v>
      </c>
      <c r="Y36" s="46">
        <f>'[12]LAP SPJ ADMINISTRATIF DESEMBER'!$O$133</f>
        <v>94150800</v>
      </c>
      <c r="Z36" s="44"/>
      <c r="AA36" s="44"/>
      <c r="AB36" s="44"/>
      <c r="AC36" s="44"/>
      <c r="AD36" s="44"/>
      <c r="AE36" s="44"/>
      <c r="AF36" s="227">
        <f t="shared" si="7"/>
        <v>1</v>
      </c>
      <c r="AG36" s="227">
        <f t="shared" si="8"/>
        <v>0.55390153846153845</v>
      </c>
      <c r="AH36" s="227">
        <f t="shared" si="0"/>
        <v>1</v>
      </c>
      <c r="AI36" s="227">
        <f t="shared" si="1"/>
        <v>0.81339784017278616</v>
      </c>
      <c r="AJ36" s="44"/>
      <c r="AK36" s="44"/>
      <c r="AL36" s="44"/>
      <c r="AM36" s="44"/>
      <c r="AN36" s="44"/>
      <c r="AO36" s="44"/>
      <c r="AP36" s="22"/>
    </row>
    <row r="37" spans="1:76" s="10" customFormat="1" ht="49.5" customHeight="1">
      <c r="A37" s="47"/>
      <c r="B37" s="48"/>
      <c r="C37" s="201"/>
      <c r="D37" s="901"/>
      <c r="E37" s="902"/>
      <c r="F37" s="42" t="str">
        <f>'[11]LAP SPJ ADMIN DES-PERUBH oke'!$P$127</f>
        <v>Pemeliharaan Rutin / Berkala Rumah Dinas</v>
      </c>
      <c r="G37" s="43" t="s">
        <v>42</v>
      </c>
      <c r="H37" s="44">
        <v>1</v>
      </c>
      <c r="I37" s="44"/>
      <c r="J37" s="44">
        <v>1</v>
      </c>
      <c r="K37" s="216">
        <f t="shared" si="4"/>
        <v>15000000</v>
      </c>
      <c r="L37" s="44">
        <v>1</v>
      </c>
      <c r="M37" s="56">
        <f>'[11]LAP SPJ ADMIN DES-PERUBH oke'!$Q$127</f>
        <v>15000000</v>
      </c>
      <c r="N37" s="44">
        <v>1</v>
      </c>
      <c r="O37" s="56">
        <v>0</v>
      </c>
      <c r="P37" s="44"/>
      <c r="Q37" s="44"/>
      <c r="R37" s="44"/>
      <c r="S37" s="44"/>
      <c r="T37" s="44"/>
      <c r="U37" s="44"/>
      <c r="V37" s="44">
        <v>1</v>
      </c>
      <c r="W37" s="56">
        <f>'[11]LAP SPJ ADMIN DES-PERUBH oke'!$AA$127</f>
        <v>14962750</v>
      </c>
      <c r="X37" s="44">
        <v>1</v>
      </c>
      <c r="Y37" s="46">
        <v>0</v>
      </c>
      <c r="Z37" s="44"/>
      <c r="AA37" s="44"/>
      <c r="AB37" s="44"/>
      <c r="AC37" s="44"/>
      <c r="AD37" s="44"/>
      <c r="AE37" s="44"/>
      <c r="AF37" s="227">
        <f t="shared" si="7"/>
        <v>1</v>
      </c>
      <c r="AG37" s="227">
        <f t="shared" si="8"/>
        <v>0.99751666666666672</v>
      </c>
      <c r="AH37" s="227">
        <v>0</v>
      </c>
      <c r="AI37" s="227">
        <v>0</v>
      </c>
      <c r="AJ37" s="44"/>
      <c r="AK37" s="44"/>
      <c r="AL37" s="44"/>
      <c r="AM37" s="44"/>
      <c r="AN37" s="44"/>
      <c r="AO37" s="44"/>
      <c r="AP37" s="22"/>
    </row>
    <row r="38" spans="1:76" s="10" customFormat="1" ht="49.5" customHeight="1">
      <c r="A38" s="47"/>
      <c r="B38" s="48"/>
      <c r="C38" s="201"/>
      <c r="D38" s="901"/>
      <c r="E38" s="902"/>
      <c r="F38" s="42" t="str">
        <f>'[11]LAP SPJ ADMIN DES-PERUBH oke'!$P$134</f>
        <v>Pemeliharaan Rutin / Berkala Peralatan Kantor</v>
      </c>
      <c r="G38" s="43" t="s">
        <v>44</v>
      </c>
      <c r="H38" s="44">
        <v>1</v>
      </c>
      <c r="I38" s="44"/>
      <c r="J38" s="44">
        <v>1</v>
      </c>
      <c r="K38" s="216">
        <f t="shared" si="4"/>
        <v>35000000</v>
      </c>
      <c r="L38" s="44">
        <v>1</v>
      </c>
      <c r="M38" s="56">
        <f>'[11]LAP SPJ ADMIN DES-PERUBH oke'!$Q$134</f>
        <v>35000000</v>
      </c>
      <c r="N38" s="44">
        <v>1</v>
      </c>
      <c r="O38" s="56">
        <v>0</v>
      </c>
      <c r="P38" s="44"/>
      <c r="Q38" s="44"/>
      <c r="R38" s="44"/>
      <c r="S38" s="44"/>
      <c r="T38" s="44"/>
      <c r="U38" s="44"/>
      <c r="V38" s="44">
        <v>1</v>
      </c>
      <c r="W38" s="56">
        <f>'[11]LAP SPJ ADMIN DES-PERUBH oke'!$AA$134</f>
        <v>32708600</v>
      </c>
      <c r="X38" s="44">
        <v>1</v>
      </c>
      <c r="Y38" s="46">
        <v>0</v>
      </c>
      <c r="Z38" s="44"/>
      <c r="AA38" s="44"/>
      <c r="AB38" s="44"/>
      <c r="AC38" s="44"/>
      <c r="AD38" s="44"/>
      <c r="AE38" s="44"/>
      <c r="AF38" s="227">
        <f t="shared" si="7"/>
        <v>1</v>
      </c>
      <c r="AG38" s="227">
        <f t="shared" si="8"/>
        <v>0.93453142857142857</v>
      </c>
      <c r="AH38" s="227">
        <v>0</v>
      </c>
      <c r="AI38" s="227">
        <v>0</v>
      </c>
      <c r="AJ38" s="44"/>
      <c r="AK38" s="44"/>
      <c r="AL38" s="44"/>
      <c r="AM38" s="44"/>
      <c r="AN38" s="44"/>
      <c r="AO38" s="44"/>
      <c r="AP38" s="22"/>
    </row>
    <row r="39" spans="1:76" s="10" customFormat="1" ht="49.5" customHeight="1">
      <c r="A39" s="47"/>
      <c r="B39" s="48"/>
      <c r="C39" s="201"/>
      <c r="D39" s="901"/>
      <c r="E39" s="902"/>
      <c r="F39" s="29" t="str">
        <f>'[11]LAP SPJ ADMIN DES-PERUBH oke'!$P$139</f>
        <v>Rehabilitasi Sedang Berat Gedung Kantor</v>
      </c>
      <c r="G39" s="57" t="s">
        <v>45</v>
      </c>
      <c r="H39" s="44">
        <v>1</v>
      </c>
      <c r="I39" s="44"/>
      <c r="J39" s="44">
        <v>1</v>
      </c>
      <c r="K39" s="216">
        <f t="shared" si="4"/>
        <v>153500000</v>
      </c>
      <c r="L39" s="44">
        <v>1</v>
      </c>
      <c r="M39" s="56">
        <f>'[11]LAP SPJ ADMIN DES-PERUBH oke'!$Q$139</f>
        <v>153500000</v>
      </c>
      <c r="N39" s="44">
        <v>1</v>
      </c>
      <c r="O39" s="56">
        <v>0</v>
      </c>
      <c r="P39" s="44"/>
      <c r="Q39" s="44"/>
      <c r="R39" s="44"/>
      <c r="S39" s="44"/>
      <c r="T39" s="44"/>
      <c r="U39" s="44"/>
      <c r="V39" s="44">
        <v>1</v>
      </c>
      <c r="W39" s="56">
        <f>'[11]LAP SPJ ADMIN DES-PERUBH oke'!$AA$139</f>
        <v>141775100</v>
      </c>
      <c r="X39" s="44">
        <v>1</v>
      </c>
      <c r="Y39" s="46">
        <v>0</v>
      </c>
      <c r="Z39" s="44"/>
      <c r="AA39" s="44"/>
      <c r="AB39" s="44"/>
      <c r="AC39" s="44"/>
      <c r="AD39" s="44"/>
      <c r="AE39" s="44"/>
      <c r="AF39" s="227">
        <f t="shared" si="7"/>
        <v>1</v>
      </c>
      <c r="AG39" s="227">
        <f t="shared" si="8"/>
        <v>0.9236162866449511</v>
      </c>
      <c r="AH39" s="227">
        <v>0</v>
      </c>
      <c r="AI39" s="227">
        <v>0</v>
      </c>
      <c r="AJ39" s="44"/>
      <c r="AK39" s="44"/>
      <c r="AL39" s="44"/>
      <c r="AM39" s="44"/>
      <c r="AN39" s="44"/>
      <c r="AO39" s="44"/>
      <c r="AP39" s="22"/>
    </row>
    <row r="40" spans="1:76" s="10" customFormat="1" ht="69" customHeight="1">
      <c r="A40" s="47"/>
      <c r="B40" s="48"/>
      <c r="C40" s="201">
        <v>3</v>
      </c>
      <c r="D40" s="901"/>
      <c r="E40" s="902"/>
      <c r="F40" s="50" t="str">
        <f>'[11]LAP SPJ ADMIN DES-PERUBH oke'!$P$166</f>
        <v>PROGRAM PENINGKATAN KAPASITAS SUMBERDAYA APARATUR</v>
      </c>
      <c r="G40" s="51" t="s">
        <v>46</v>
      </c>
      <c r="H40" s="52">
        <v>1</v>
      </c>
      <c r="I40" s="52"/>
      <c r="J40" s="52">
        <v>1</v>
      </c>
      <c r="K40" s="53">
        <f>K41</f>
        <v>95000000</v>
      </c>
      <c r="L40" s="52">
        <v>1</v>
      </c>
      <c r="M40" s="53">
        <f>M41</f>
        <v>95000000</v>
      </c>
      <c r="N40" s="52">
        <v>1</v>
      </c>
      <c r="O40" s="53">
        <f>O41</f>
        <v>0</v>
      </c>
      <c r="P40" s="52"/>
      <c r="Q40" s="52"/>
      <c r="R40" s="52"/>
      <c r="S40" s="52"/>
      <c r="T40" s="52"/>
      <c r="U40" s="52"/>
      <c r="V40" s="52">
        <v>1</v>
      </c>
      <c r="W40" s="58">
        <f>W41</f>
        <v>94200000</v>
      </c>
      <c r="X40" s="52">
        <v>1</v>
      </c>
      <c r="Y40" s="58">
        <f>Y41</f>
        <v>0</v>
      </c>
      <c r="Z40" s="52"/>
      <c r="AA40" s="52"/>
      <c r="AB40" s="52"/>
      <c r="AC40" s="52"/>
      <c r="AD40" s="52"/>
      <c r="AE40" s="52"/>
      <c r="AF40" s="229">
        <f t="shared" si="7"/>
        <v>1</v>
      </c>
      <c r="AG40" s="229">
        <f t="shared" si="8"/>
        <v>0.991578947368421</v>
      </c>
      <c r="AH40" s="229">
        <v>0</v>
      </c>
      <c r="AI40" s="229">
        <v>0</v>
      </c>
      <c r="AJ40" s="52"/>
      <c r="AK40" s="52"/>
      <c r="AL40" s="52"/>
      <c r="AM40" s="52"/>
      <c r="AN40" s="52"/>
      <c r="AO40" s="52"/>
      <c r="AP40" s="54"/>
    </row>
    <row r="41" spans="1:76" s="10" customFormat="1" ht="69" customHeight="1">
      <c r="A41" s="47"/>
      <c r="B41" s="48"/>
      <c r="C41" s="201"/>
      <c r="D41" s="901"/>
      <c r="E41" s="902"/>
      <c r="F41" s="42" t="str">
        <f>'[11]LAP SPJ ADMIN DES-PERUBH oke'!$P$168</f>
        <v>Bimbingan Teknis Implementasi Peraturan Perundang-Undangan</v>
      </c>
      <c r="G41" s="43" t="s">
        <v>47</v>
      </c>
      <c r="H41" s="44">
        <v>1</v>
      </c>
      <c r="I41" s="44"/>
      <c r="J41" s="44">
        <v>1</v>
      </c>
      <c r="K41" s="216">
        <f t="shared" si="4"/>
        <v>95000000</v>
      </c>
      <c r="L41" s="44">
        <v>1</v>
      </c>
      <c r="M41" s="56">
        <f>'[11]LAP SPJ ADMIN DES-PERUBH oke'!$Q$166</f>
        <v>95000000</v>
      </c>
      <c r="N41" s="44">
        <v>1</v>
      </c>
      <c r="O41" s="55">
        <v>0</v>
      </c>
      <c r="P41" s="44"/>
      <c r="Q41" s="44"/>
      <c r="R41" s="44"/>
      <c r="S41" s="44"/>
      <c r="T41" s="44"/>
      <c r="U41" s="44"/>
      <c r="V41" s="44">
        <v>1</v>
      </c>
      <c r="W41" s="56">
        <f>'[11]LAP SPJ ADMIN DES-PERUBH oke'!$AA$168</f>
        <v>94200000</v>
      </c>
      <c r="X41" s="44">
        <v>1</v>
      </c>
      <c r="Y41" s="59">
        <v>0</v>
      </c>
      <c r="Z41" s="44"/>
      <c r="AA41" s="44"/>
      <c r="AB41" s="44"/>
      <c r="AC41" s="44"/>
      <c r="AD41" s="44"/>
      <c r="AE41" s="44"/>
      <c r="AF41" s="227">
        <f t="shared" si="7"/>
        <v>1</v>
      </c>
      <c r="AG41" s="227">
        <f t="shared" si="8"/>
        <v>0.991578947368421</v>
      </c>
      <c r="AH41" s="227">
        <v>0</v>
      </c>
      <c r="AI41" s="227">
        <v>0</v>
      </c>
      <c r="AJ41" s="44"/>
      <c r="AK41" s="44"/>
      <c r="AL41" s="44"/>
      <c r="AM41" s="44"/>
      <c r="AN41" s="44"/>
      <c r="AO41" s="44"/>
      <c r="AP41" s="22"/>
    </row>
    <row r="42" spans="1:76" s="10" customFormat="1" ht="116.25" customHeight="1">
      <c r="A42" s="47"/>
      <c r="B42" s="48"/>
      <c r="C42" s="201">
        <v>4</v>
      </c>
      <c r="D42" s="901"/>
      <c r="E42" s="902"/>
      <c r="F42" s="50" t="str">
        <f>'[11]LAP SPJ ADMIN DES-PERUBH oke'!$P$173</f>
        <v>PROGRAM PENINGKATAN PENGEMBANGAN SISTEM  PERENCANAAN DAN PELAPORAN CAPAIAN KINERJA DAN KEUANGAN</v>
      </c>
      <c r="G42" s="60" t="s">
        <v>48</v>
      </c>
      <c r="H42" s="52">
        <v>1</v>
      </c>
      <c r="I42" s="52"/>
      <c r="J42" s="52">
        <v>1</v>
      </c>
      <c r="K42" s="53">
        <f>SUM(K43:K44)</f>
        <v>1750000</v>
      </c>
      <c r="L42" s="52">
        <v>1</v>
      </c>
      <c r="M42" s="53">
        <f>SUM(M43:M44)</f>
        <v>1750000</v>
      </c>
      <c r="N42" s="52">
        <v>1</v>
      </c>
      <c r="O42" s="53">
        <f>SUM(O43:O44)</f>
        <v>0</v>
      </c>
      <c r="P42" s="52"/>
      <c r="Q42" s="52"/>
      <c r="R42" s="52"/>
      <c r="S42" s="52"/>
      <c r="T42" s="52"/>
      <c r="U42" s="52"/>
      <c r="V42" s="52">
        <v>1</v>
      </c>
      <c r="W42" s="53">
        <f>SUM(W43:W44)</f>
        <v>1750000</v>
      </c>
      <c r="X42" s="52">
        <v>1</v>
      </c>
      <c r="Y42" s="53">
        <f>SUM(Y43:Y44)</f>
        <v>0</v>
      </c>
      <c r="Z42" s="52"/>
      <c r="AA42" s="52"/>
      <c r="AB42" s="52"/>
      <c r="AC42" s="52"/>
      <c r="AD42" s="52"/>
      <c r="AE42" s="52"/>
      <c r="AF42" s="229">
        <f t="shared" si="7"/>
        <v>1</v>
      </c>
      <c r="AG42" s="229">
        <f t="shared" si="8"/>
        <v>1</v>
      </c>
      <c r="AH42" s="229">
        <v>0</v>
      </c>
      <c r="AI42" s="229">
        <v>0</v>
      </c>
      <c r="AJ42" s="52"/>
      <c r="AK42" s="52"/>
      <c r="AL42" s="52"/>
      <c r="AM42" s="52"/>
      <c r="AN42" s="52"/>
      <c r="AO42" s="52"/>
      <c r="AP42" s="54"/>
    </row>
    <row r="43" spans="1:76" s="10" customFormat="1" ht="69" customHeight="1">
      <c r="A43" s="47"/>
      <c r="B43" s="48"/>
      <c r="C43" s="201"/>
      <c r="D43" s="901"/>
      <c r="E43" s="902"/>
      <c r="F43" s="42" t="str">
        <f>'[11]LAP SPJ ADMIN DES-PERUBH oke'!$P$175</f>
        <v>Penyusunan Perencanaan dan Pelaporan Kinerja Perangkat Daerah</v>
      </c>
      <c r="G43" s="22"/>
      <c r="H43" s="44">
        <v>1</v>
      </c>
      <c r="I43" s="44"/>
      <c r="J43" s="44">
        <v>1</v>
      </c>
      <c r="K43" s="216">
        <f t="shared" si="4"/>
        <v>500000</v>
      </c>
      <c r="L43" s="44">
        <v>1</v>
      </c>
      <c r="M43" s="56">
        <f>'[11]LAP SPJ ADMIN DES-PERUBH oke'!$Q$175</f>
        <v>500000</v>
      </c>
      <c r="N43" s="44">
        <v>1</v>
      </c>
      <c r="O43" s="55">
        <v>0</v>
      </c>
      <c r="P43" s="44"/>
      <c r="Q43" s="44"/>
      <c r="R43" s="44"/>
      <c r="S43" s="44"/>
      <c r="T43" s="44"/>
      <c r="U43" s="44"/>
      <c r="V43" s="44">
        <v>1</v>
      </c>
      <c r="W43" s="56">
        <f>'[11]LAP SPJ ADMIN DES-PERUBH oke'!$AA$175</f>
        <v>500000</v>
      </c>
      <c r="X43" s="44">
        <v>1</v>
      </c>
      <c r="Y43" s="59">
        <v>0</v>
      </c>
      <c r="Z43" s="44"/>
      <c r="AA43" s="44"/>
      <c r="AB43" s="44"/>
      <c r="AC43" s="44"/>
      <c r="AD43" s="44"/>
      <c r="AE43" s="44"/>
      <c r="AF43" s="227">
        <f t="shared" si="7"/>
        <v>1</v>
      </c>
      <c r="AG43" s="227">
        <f t="shared" si="8"/>
        <v>1</v>
      </c>
      <c r="AH43" s="227">
        <v>0</v>
      </c>
      <c r="AI43" s="227">
        <v>0</v>
      </c>
      <c r="AJ43" s="44"/>
      <c r="AK43" s="44"/>
      <c r="AL43" s="44"/>
      <c r="AM43" s="44"/>
      <c r="AN43" s="44"/>
      <c r="AO43" s="44"/>
      <c r="AP43" s="22"/>
    </row>
    <row r="44" spans="1:76" s="10" customFormat="1" ht="69" customHeight="1">
      <c r="A44" s="47"/>
      <c r="B44" s="48"/>
      <c r="C44" s="201"/>
      <c r="D44" s="903"/>
      <c r="E44" s="904"/>
      <c r="F44" s="42" t="str">
        <f>'[11]LAP SPJ ADMIN DES-PERUBH oke'!$P$182</f>
        <v>Penyusunan Laporan Kinerja Keuangan Perangkat Daerah</v>
      </c>
      <c r="G44" s="22"/>
      <c r="H44" s="44">
        <v>1</v>
      </c>
      <c r="I44" s="44"/>
      <c r="J44" s="44">
        <v>1</v>
      </c>
      <c r="K44" s="216">
        <f t="shared" si="4"/>
        <v>1250000</v>
      </c>
      <c r="L44" s="44">
        <v>1</v>
      </c>
      <c r="M44" s="56">
        <f>'[11]LAP SPJ ADMIN DES-PERUBH oke'!$Q$182</f>
        <v>1250000</v>
      </c>
      <c r="N44" s="44">
        <v>0</v>
      </c>
      <c r="O44" s="55">
        <v>0</v>
      </c>
      <c r="P44" s="44"/>
      <c r="Q44" s="44"/>
      <c r="R44" s="44"/>
      <c r="S44" s="44"/>
      <c r="T44" s="44"/>
      <c r="U44" s="44"/>
      <c r="V44" s="44">
        <v>1</v>
      </c>
      <c r="W44" s="56">
        <f>'[11]LAP SPJ ADMIN DES-PERUBH oke'!$AA$182</f>
        <v>1250000</v>
      </c>
      <c r="X44" s="44">
        <v>0</v>
      </c>
      <c r="Y44" s="59">
        <v>0</v>
      </c>
      <c r="Z44" s="44"/>
      <c r="AA44" s="44"/>
      <c r="AB44" s="44"/>
      <c r="AC44" s="44"/>
      <c r="AD44" s="44"/>
      <c r="AE44" s="44"/>
      <c r="AF44" s="227">
        <f t="shared" si="7"/>
        <v>1</v>
      </c>
      <c r="AG44" s="227">
        <f t="shared" si="8"/>
        <v>1</v>
      </c>
      <c r="AH44" s="227">
        <v>0</v>
      </c>
      <c r="AI44" s="227">
        <v>0</v>
      </c>
      <c r="AJ44" s="44"/>
      <c r="AK44" s="44"/>
      <c r="AL44" s="44"/>
      <c r="AM44" s="44"/>
      <c r="AN44" s="44"/>
      <c r="AO44" s="44"/>
      <c r="AP44" s="22"/>
    </row>
    <row r="45" spans="1:76" s="61" customFormat="1" ht="61.5" customHeight="1">
      <c r="A45" s="876"/>
      <c r="B45" s="877"/>
      <c r="C45" s="202">
        <v>5</v>
      </c>
      <c r="D45" s="888" t="s">
        <v>49</v>
      </c>
      <c r="E45" s="889"/>
      <c r="F45" s="62" t="s">
        <v>50</v>
      </c>
      <c r="G45" s="63" t="s">
        <v>51</v>
      </c>
      <c r="H45" s="64">
        <v>1</v>
      </c>
      <c r="I45" s="64"/>
      <c r="J45" s="64">
        <v>1</v>
      </c>
      <c r="K45" s="65">
        <f>SUM(K46:K51)</f>
        <v>3792163000</v>
      </c>
      <c r="L45" s="64">
        <v>1</v>
      </c>
      <c r="M45" s="65">
        <f>SUM(M46:M51)</f>
        <v>1971611000</v>
      </c>
      <c r="N45" s="64">
        <v>1</v>
      </c>
      <c r="O45" s="65">
        <f>SUM(O46:O51)</f>
        <v>1820552000</v>
      </c>
      <c r="P45" s="64"/>
      <c r="Q45" s="64"/>
      <c r="R45" s="64"/>
      <c r="S45" s="64"/>
      <c r="T45" s="64"/>
      <c r="U45" s="64"/>
      <c r="V45" s="64">
        <v>1</v>
      </c>
      <c r="W45" s="65">
        <f>SUM(W46:W51)</f>
        <v>1860210925</v>
      </c>
      <c r="X45" s="64">
        <v>1</v>
      </c>
      <c r="Y45" s="65">
        <f>SUM(Y46:Y51)</f>
        <v>1746982620</v>
      </c>
      <c r="Z45" s="64"/>
      <c r="AA45" s="64"/>
      <c r="AB45" s="64"/>
      <c r="AC45" s="64"/>
      <c r="AD45" s="64"/>
      <c r="AE45" s="64"/>
      <c r="AF45" s="228">
        <f t="shared" si="7"/>
        <v>1</v>
      </c>
      <c r="AG45" s="228">
        <f t="shared" si="8"/>
        <v>0.94349794406705989</v>
      </c>
      <c r="AH45" s="228">
        <f t="shared" si="0"/>
        <v>1</v>
      </c>
      <c r="AI45" s="228">
        <f t="shared" si="1"/>
        <v>0.95958952010159559</v>
      </c>
      <c r="AJ45" s="64"/>
      <c r="AK45" s="64"/>
      <c r="AL45" s="64"/>
      <c r="AM45" s="64"/>
      <c r="AN45" s="64"/>
      <c r="AO45" s="64"/>
      <c r="AP45" s="66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</row>
    <row r="46" spans="1:76" s="61" customFormat="1" ht="62.25" customHeight="1">
      <c r="A46" s="876"/>
      <c r="B46" s="877"/>
      <c r="C46" s="202"/>
      <c r="D46" s="890"/>
      <c r="E46" s="891"/>
      <c r="F46" s="49" t="s">
        <v>52</v>
      </c>
      <c r="G46" s="49" t="s">
        <v>53</v>
      </c>
      <c r="H46" s="44">
        <v>1</v>
      </c>
      <c r="I46" s="44"/>
      <c r="J46" s="44">
        <v>1</v>
      </c>
      <c r="K46" s="216">
        <f t="shared" si="4"/>
        <v>34660000</v>
      </c>
      <c r="L46" s="44">
        <v>1</v>
      </c>
      <c r="M46" s="68">
        <f>'[11]LAP SPJ ADMIN DES-PERUBH oke'!$Q$191</f>
        <v>34160000</v>
      </c>
      <c r="N46" s="44">
        <v>1</v>
      </c>
      <c r="O46" s="81">
        <f>'[12]LAP SPJ ADMINISTRATIF DESEMBER'!$E$137</f>
        <v>500000</v>
      </c>
      <c r="P46" s="44"/>
      <c r="Q46" s="44"/>
      <c r="R46" s="44"/>
      <c r="S46" s="44"/>
      <c r="T46" s="44"/>
      <c r="U46" s="44"/>
      <c r="V46" s="44">
        <v>1</v>
      </c>
      <c r="W46" s="68">
        <v>29059750</v>
      </c>
      <c r="X46" s="44">
        <v>1</v>
      </c>
      <c r="Y46" s="69">
        <v>115500</v>
      </c>
      <c r="Z46" s="44"/>
      <c r="AA46" s="44"/>
      <c r="AB46" s="44"/>
      <c r="AC46" s="44"/>
      <c r="AD46" s="44"/>
      <c r="AE46" s="44"/>
      <c r="AF46" s="227">
        <f t="shared" si="7"/>
        <v>1</v>
      </c>
      <c r="AG46" s="227">
        <f t="shared" si="8"/>
        <v>0.85069525761124121</v>
      </c>
      <c r="AH46" s="227">
        <f t="shared" si="0"/>
        <v>1</v>
      </c>
      <c r="AI46" s="227">
        <f t="shared" si="1"/>
        <v>0.23100000000000001</v>
      </c>
      <c r="AJ46" s="44"/>
      <c r="AK46" s="44"/>
      <c r="AL46" s="44"/>
      <c r="AM46" s="44"/>
      <c r="AN46" s="44"/>
      <c r="AO46" s="44"/>
      <c r="AP46" s="71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</row>
    <row r="47" spans="1:76" s="61" customFormat="1" ht="115.5" customHeight="1">
      <c r="A47" s="876"/>
      <c r="B47" s="877"/>
      <c r="C47" s="202"/>
      <c r="D47" s="890"/>
      <c r="E47" s="891"/>
      <c r="F47" s="72" t="s">
        <v>54</v>
      </c>
      <c r="G47" s="73" t="s">
        <v>55</v>
      </c>
      <c r="H47" s="44">
        <v>1</v>
      </c>
      <c r="I47" s="44"/>
      <c r="J47" s="44">
        <v>1</v>
      </c>
      <c r="K47" s="216">
        <f t="shared" si="4"/>
        <v>160621500</v>
      </c>
      <c r="L47" s="44">
        <v>1</v>
      </c>
      <c r="M47" s="68">
        <f>'[11]LAP SPJ ADMIN DES-PERUBH oke'!$Q$207</f>
        <v>120668500</v>
      </c>
      <c r="N47" s="44">
        <v>1</v>
      </c>
      <c r="O47" s="81">
        <f>'[12]LAP SPJ ADMINISTRATIF DESEMBER'!$E$153</f>
        <v>39953000</v>
      </c>
      <c r="P47" s="44"/>
      <c r="Q47" s="44"/>
      <c r="R47" s="44"/>
      <c r="S47" s="44"/>
      <c r="T47" s="44"/>
      <c r="U47" s="44"/>
      <c r="V47" s="44">
        <v>1</v>
      </c>
      <c r="W47" s="68">
        <v>46795600</v>
      </c>
      <c r="X47" s="44">
        <v>1</v>
      </c>
      <c r="Y47" s="74">
        <v>23641800</v>
      </c>
      <c r="Z47" s="44"/>
      <c r="AA47" s="44"/>
      <c r="AB47" s="44"/>
      <c r="AC47" s="44"/>
      <c r="AD47" s="44"/>
      <c r="AE47" s="44"/>
      <c r="AF47" s="227">
        <f t="shared" si="7"/>
        <v>1</v>
      </c>
      <c r="AG47" s="227">
        <f t="shared" si="8"/>
        <v>0.38780294774526908</v>
      </c>
      <c r="AH47" s="227">
        <f t="shared" si="0"/>
        <v>1</v>
      </c>
      <c r="AI47" s="227">
        <f t="shared" si="1"/>
        <v>0.59174029484644453</v>
      </c>
      <c r="AJ47" s="44"/>
      <c r="AK47" s="44"/>
      <c r="AL47" s="44"/>
      <c r="AM47" s="44"/>
      <c r="AN47" s="44"/>
      <c r="AO47" s="44"/>
      <c r="AP47" s="71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</row>
    <row r="48" spans="1:76" s="61" customFormat="1" ht="72.75" customHeight="1">
      <c r="A48" s="876"/>
      <c r="B48" s="877"/>
      <c r="C48" s="202"/>
      <c r="D48" s="890"/>
      <c r="E48" s="891"/>
      <c r="F48" s="72" t="s">
        <v>56</v>
      </c>
      <c r="G48" s="73" t="s">
        <v>57</v>
      </c>
      <c r="H48" s="44">
        <v>1</v>
      </c>
      <c r="I48" s="44"/>
      <c r="J48" s="44">
        <v>1</v>
      </c>
      <c r="K48" s="216">
        <f t="shared" si="4"/>
        <v>101705500</v>
      </c>
      <c r="L48" s="44">
        <v>1</v>
      </c>
      <c r="M48" s="68">
        <f>'[11]LAP SPJ ADMIN DES-PERUBH oke'!$Q$222</f>
        <v>68070500</v>
      </c>
      <c r="N48" s="44">
        <v>1</v>
      </c>
      <c r="O48" s="81">
        <f>'[12]LAP SPJ ADMINISTRATIF DESEMBER'!$E$167</f>
        <v>33635000</v>
      </c>
      <c r="P48" s="44"/>
      <c r="Q48" s="44"/>
      <c r="R48" s="44"/>
      <c r="S48" s="44"/>
      <c r="T48" s="44"/>
      <c r="U48" s="44"/>
      <c r="V48" s="44">
        <v>1</v>
      </c>
      <c r="W48" s="68">
        <v>60592000</v>
      </c>
      <c r="X48" s="44">
        <v>1</v>
      </c>
      <c r="Y48" s="74">
        <v>29284400</v>
      </c>
      <c r="Z48" s="44"/>
      <c r="AA48" s="44"/>
      <c r="AB48" s="44"/>
      <c r="AC48" s="44"/>
      <c r="AD48" s="44"/>
      <c r="AE48" s="44"/>
      <c r="AF48" s="227">
        <f t="shared" si="7"/>
        <v>1</v>
      </c>
      <c r="AG48" s="227">
        <f t="shared" si="8"/>
        <v>0.89013596198059364</v>
      </c>
      <c r="AH48" s="227">
        <f t="shared" si="0"/>
        <v>1</v>
      </c>
      <c r="AI48" s="227">
        <f t="shared" si="1"/>
        <v>0.87065259402408202</v>
      </c>
      <c r="AJ48" s="44"/>
      <c r="AK48" s="44"/>
      <c r="AL48" s="44"/>
      <c r="AM48" s="44"/>
      <c r="AN48" s="44"/>
      <c r="AO48" s="44"/>
      <c r="AP48" s="71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</row>
    <row r="49" spans="1:76" s="61" customFormat="1" ht="69.75" customHeight="1">
      <c r="A49" s="876"/>
      <c r="B49" s="877"/>
      <c r="C49" s="202"/>
      <c r="D49" s="890"/>
      <c r="E49" s="891"/>
      <c r="F49" s="72" t="s">
        <v>58</v>
      </c>
      <c r="G49" s="73" t="s">
        <v>59</v>
      </c>
      <c r="H49" s="44">
        <v>1</v>
      </c>
      <c r="I49" s="44"/>
      <c r="J49" s="44">
        <v>1</v>
      </c>
      <c r="K49" s="216">
        <f t="shared" si="4"/>
        <v>96452000</v>
      </c>
      <c r="L49" s="44">
        <v>1</v>
      </c>
      <c r="M49" s="68">
        <f>'[11]LAP SPJ ADMIN DES-PERUBH oke'!$Q$245</f>
        <v>54932000</v>
      </c>
      <c r="N49" s="44">
        <v>1</v>
      </c>
      <c r="O49" s="81">
        <f>'[12]LAP SPJ ADMINISTRATIF DESEMBER'!$E$200</f>
        <v>41520000</v>
      </c>
      <c r="P49" s="44"/>
      <c r="Q49" s="44"/>
      <c r="R49" s="44"/>
      <c r="S49" s="44"/>
      <c r="T49" s="44"/>
      <c r="U49" s="44"/>
      <c r="V49" s="44">
        <v>1</v>
      </c>
      <c r="W49" s="68">
        <v>54032000</v>
      </c>
      <c r="X49" s="44">
        <v>1</v>
      </c>
      <c r="Y49" s="74">
        <v>41510000</v>
      </c>
      <c r="Z49" s="44"/>
      <c r="AA49" s="44"/>
      <c r="AB49" s="44"/>
      <c r="AC49" s="44"/>
      <c r="AD49" s="44"/>
      <c r="AE49" s="44"/>
      <c r="AF49" s="227">
        <f t="shared" si="7"/>
        <v>1</v>
      </c>
      <c r="AG49" s="227">
        <f t="shared" si="8"/>
        <v>0.9836161071870676</v>
      </c>
      <c r="AH49" s="227">
        <f t="shared" si="0"/>
        <v>1</v>
      </c>
      <c r="AI49" s="227">
        <f t="shared" si="1"/>
        <v>0.99975915221579958</v>
      </c>
      <c r="AJ49" s="44"/>
      <c r="AK49" s="44"/>
      <c r="AL49" s="44"/>
      <c r="AM49" s="44"/>
      <c r="AN49" s="44"/>
      <c r="AO49" s="44"/>
      <c r="AP49" s="71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</row>
    <row r="50" spans="1:76" s="61" customFormat="1" ht="137.25" customHeight="1">
      <c r="A50" s="876"/>
      <c r="B50" s="877"/>
      <c r="C50" s="202"/>
      <c r="D50" s="890"/>
      <c r="E50" s="891"/>
      <c r="F50" s="72" t="s">
        <v>60</v>
      </c>
      <c r="G50" s="73" t="s">
        <v>61</v>
      </c>
      <c r="H50" s="44">
        <v>1</v>
      </c>
      <c r="I50" s="44"/>
      <c r="J50" s="44">
        <v>1</v>
      </c>
      <c r="K50" s="216">
        <f t="shared" si="4"/>
        <v>22100000</v>
      </c>
      <c r="L50" s="44">
        <v>1</v>
      </c>
      <c r="M50" s="68">
        <f>'[11]LAP SPJ ADMIN DES-PERUBH oke'!$Q$262</f>
        <v>10100000</v>
      </c>
      <c r="N50" s="44">
        <v>1</v>
      </c>
      <c r="O50" s="81">
        <f>'[12]LAP SPJ ADMINISTRATIF DESEMBER'!$E$218</f>
        <v>12000000</v>
      </c>
      <c r="P50" s="44"/>
      <c r="Q50" s="44"/>
      <c r="R50" s="44"/>
      <c r="S50" s="44"/>
      <c r="T50" s="44"/>
      <c r="U50" s="44"/>
      <c r="V50" s="44">
        <v>1</v>
      </c>
      <c r="W50" s="68">
        <v>9210250</v>
      </c>
      <c r="X50" s="44">
        <v>1</v>
      </c>
      <c r="Y50" s="69">
        <v>10648200</v>
      </c>
      <c r="Z50" s="44"/>
      <c r="AA50" s="44"/>
      <c r="AB50" s="44"/>
      <c r="AC50" s="44"/>
      <c r="AD50" s="44"/>
      <c r="AE50" s="44"/>
      <c r="AF50" s="227">
        <f t="shared" si="7"/>
        <v>1</v>
      </c>
      <c r="AG50" s="227">
        <f t="shared" si="8"/>
        <v>0.91190594059405938</v>
      </c>
      <c r="AH50" s="227">
        <f t="shared" si="0"/>
        <v>1</v>
      </c>
      <c r="AI50" s="227">
        <f t="shared" si="1"/>
        <v>0.88734999999999997</v>
      </c>
      <c r="AJ50" s="44"/>
      <c r="AK50" s="44"/>
      <c r="AL50" s="44"/>
      <c r="AM50" s="44"/>
      <c r="AN50" s="44"/>
      <c r="AO50" s="44"/>
      <c r="AP50" s="71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</row>
    <row r="51" spans="1:76" s="61" customFormat="1" ht="86.25" customHeight="1">
      <c r="A51" s="876"/>
      <c r="B51" s="877"/>
      <c r="C51" s="202"/>
      <c r="D51" s="890"/>
      <c r="E51" s="891"/>
      <c r="F51" s="72" t="s">
        <v>62</v>
      </c>
      <c r="G51" s="73" t="s">
        <v>63</v>
      </c>
      <c r="H51" s="44">
        <v>1</v>
      </c>
      <c r="I51" s="44"/>
      <c r="J51" s="44">
        <v>1</v>
      </c>
      <c r="K51" s="216">
        <f t="shared" si="4"/>
        <v>3376624000</v>
      </c>
      <c r="L51" s="44">
        <v>1</v>
      </c>
      <c r="M51" s="68">
        <f>'[11]LAP SPJ ADMIN DES-PERUBH oke'!$Q$633</f>
        <v>1683680000</v>
      </c>
      <c r="N51" s="44">
        <v>1</v>
      </c>
      <c r="O51" s="81">
        <f>'[12]LAP SPJ ADMINISTRATIF DESEMBER'!$E$227</f>
        <v>1692944000</v>
      </c>
      <c r="P51" s="44"/>
      <c r="Q51" s="44"/>
      <c r="R51" s="44"/>
      <c r="S51" s="44"/>
      <c r="T51" s="44"/>
      <c r="U51" s="44"/>
      <c r="V51" s="44">
        <v>1</v>
      </c>
      <c r="W51" s="68">
        <v>1660521325</v>
      </c>
      <c r="X51" s="44">
        <v>1</v>
      </c>
      <c r="Y51" s="74">
        <v>1641782720</v>
      </c>
      <c r="Z51" s="44"/>
      <c r="AA51" s="44"/>
      <c r="AB51" s="44"/>
      <c r="AC51" s="44"/>
      <c r="AD51" s="44"/>
      <c r="AE51" s="44"/>
      <c r="AF51" s="227">
        <f t="shared" si="7"/>
        <v>1</v>
      </c>
      <c r="AG51" s="227">
        <f t="shared" si="8"/>
        <v>0.98624520395799675</v>
      </c>
      <c r="AH51" s="227">
        <f t="shared" si="0"/>
        <v>1</v>
      </c>
      <c r="AI51" s="227">
        <f t="shared" si="1"/>
        <v>0.96977969737923997</v>
      </c>
      <c r="AJ51" s="44"/>
      <c r="AK51" s="44"/>
      <c r="AL51" s="44"/>
      <c r="AM51" s="44"/>
      <c r="AN51" s="44"/>
      <c r="AO51" s="44"/>
      <c r="AP51" s="71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</row>
    <row r="52" spans="1:76" s="61" customFormat="1" ht="113.25" customHeight="1">
      <c r="A52" s="876"/>
      <c r="B52" s="877"/>
      <c r="C52" s="202">
        <v>6</v>
      </c>
      <c r="D52" s="890"/>
      <c r="E52" s="891"/>
      <c r="F52" s="75" t="s">
        <v>64</v>
      </c>
      <c r="G52" s="219" t="s">
        <v>65</v>
      </c>
      <c r="H52" s="64">
        <v>1</v>
      </c>
      <c r="I52" s="64"/>
      <c r="J52" s="64">
        <v>1</v>
      </c>
      <c r="K52" s="76">
        <f>SUM(K53:K70)</f>
        <v>16338861750</v>
      </c>
      <c r="L52" s="64">
        <v>1</v>
      </c>
      <c r="M52" s="76">
        <f>SUM(M53:M70)</f>
        <v>7706027500</v>
      </c>
      <c r="N52" s="64">
        <v>1</v>
      </c>
      <c r="O52" s="76">
        <f>SUM(O54:O68)</f>
        <v>8632834250</v>
      </c>
      <c r="P52" s="64"/>
      <c r="Q52" s="64"/>
      <c r="R52" s="64"/>
      <c r="S52" s="64"/>
      <c r="T52" s="64"/>
      <c r="U52" s="64"/>
      <c r="V52" s="64">
        <v>1</v>
      </c>
      <c r="W52" s="76">
        <f>SUM(W53:W70)</f>
        <v>5065431275</v>
      </c>
      <c r="X52" s="64">
        <v>1</v>
      </c>
      <c r="Y52" s="76">
        <f>SUM(Y54:Y68)</f>
        <v>7722643928.1999998</v>
      </c>
      <c r="Z52" s="64"/>
      <c r="AA52" s="64"/>
      <c r="AB52" s="64"/>
      <c r="AC52" s="64"/>
      <c r="AD52" s="64"/>
      <c r="AE52" s="64"/>
      <c r="AF52" s="228">
        <f t="shared" si="7"/>
        <v>1</v>
      </c>
      <c r="AG52" s="228">
        <f t="shared" si="8"/>
        <v>0.65733366186404085</v>
      </c>
      <c r="AH52" s="228">
        <f t="shared" si="0"/>
        <v>1</v>
      </c>
      <c r="AI52" s="228">
        <f t="shared" si="1"/>
        <v>0.89456645460324924</v>
      </c>
      <c r="AJ52" s="64"/>
      <c r="AK52" s="64"/>
      <c r="AL52" s="64"/>
      <c r="AM52" s="64"/>
      <c r="AN52" s="64"/>
      <c r="AO52" s="64"/>
      <c r="AP52" s="66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</row>
    <row r="53" spans="1:76" s="61" customFormat="1" ht="61.5" customHeight="1">
      <c r="A53" s="876"/>
      <c r="B53" s="877"/>
      <c r="C53" s="202"/>
      <c r="D53" s="890"/>
      <c r="E53" s="891"/>
      <c r="F53" s="77" t="s">
        <v>66</v>
      </c>
      <c r="G53" s="78" t="s">
        <v>67</v>
      </c>
      <c r="H53" s="44">
        <v>1</v>
      </c>
      <c r="I53" s="44"/>
      <c r="J53" s="44">
        <v>1</v>
      </c>
      <c r="K53" s="216">
        <f t="shared" si="4"/>
        <v>18286000</v>
      </c>
      <c r="L53" s="44">
        <v>1</v>
      </c>
      <c r="M53" s="68">
        <f>'[11]LAP SPJ ADMIN DES-PERUBH oke'!$Q$452</f>
        <v>18286000</v>
      </c>
      <c r="N53" s="79">
        <v>0</v>
      </c>
      <c r="O53" s="212">
        <v>0</v>
      </c>
      <c r="P53" s="44"/>
      <c r="Q53" s="44"/>
      <c r="R53" s="44"/>
      <c r="S53" s="44"/>
      <c r="T53" s="44"/>
      <c r="U53" s="44"/>
      <c r="V53" s="44">
        <v>1</v>
      </c>
      <c r="W53" s="68">
        <v>11028300</v>
      </c>
      <c r="X53" s="79">
        <v>0</v>
      </c>
      <c r="Y53" s="80">
        <v>0</v>
      </c>
      <c r="Z53" s="44"/>
      <c r="AA53" s="44"/>
      <c r="AB53" s="44"/>
      <c r="AC53" s="44"/>
      <c r="AD53" s="44"/>
      <c r="AE53" s="44"/>
      <c r="AF53" s="227">
        <f t="shared" si="7"/>
        <v>1</v>
      </c>
      <c r="AG53" s="227">
        <f t="shared" si="8"/>
        <v>0.60310073280105003</v>
      </c>
      <c r="AH53" s="227">
        <v>0</v>
      </c>
      <c r="AI53" s="227">
        <v>0</v>
      </c>
      <c r="AJ53" s="44"/>
      <c r="AK53" s="44"/>
      <c r="AL53" s="44"/>
      <c r="AM53" s="44"/>
      <c r="AN53" s="44"/>
      <c r="AO53" s="44"/>
      <c r="AP53" s="71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</row>
    <row r="54" spans="1:76" s="61" customFormat="1" ht="106.5" customHeight="1">
      <c r="A54" s="876"/>
      <c r="B54" s="877"/>
      <c r="C54" s="202"/>
      <c r="D54" s="890"/>
      <c r="E54" s="891"/>
      <c r="F54" s="72" t="s">
        <v>68</v>
      </c>
      <c r="G54" s="73" t="s">
        <v>69</v>
      </c>
      <c r="H54" s="44">
        <v>1</v>
      </c>
      <c r="I54" s="44"/>
      <c r="J54" s="44">
        <v>1</v>
      </c>
      <c r="K54" s="216">
        <f t="shared" si="4"/>
        <v>740237000</v>
      </c>
      <c r="L54" s="44">
        <v>1</v>
      </c>
      <c r="M54" s="68">
        <f>'[11]LAP SPJ ADMIN DES-PERUBH oke'!$Q$300</f>
        <v>8757000</v>
      </c>
      <c r="N54" s="44">
        <v>1</v>
      </c>
      <c r="O54" s="81">
        <f>'[12]LAP SPJ ADMINISTRATIF DESEMBER'!$E$260</f>
        <v>731480000</v>
      </c>
      <c r="P54" s="44"/>
      <c r="Q54" s="44"/>
      <c r="R54" s="44"/>
      <c r="S54" s="44"/>
      <c r="T54" s="44"/>
      <c r="U54" s="44"/>
      <c r="V54" s="44">
        <v>1</v>
      </c>
      <c r="W54" s="68">
        <v>8492550</v>
      </c>
      <c r="X54" s="44">
        <v>1</v>
      </c>
      <c r="Y54" s="74">
        <v>559482600</v>
      </c>
      <c r="Z54" s="44"/>
      <c r="AA54" s="44"/>
      <c r="AB54" s="44"/>
      <c r="AC54" s="44"/>
      <c r="AD54" s="44"/>
      <c r="AE54" s="44"/>
      <c r="AF54" s="227">
        <f t="shared" si="7"/>
        <v>1</v>
      </c>
      <c r="AG54" s="227">
        <f t="shared" si="8"/>
        <v>0.96980130181569035</v>
      </c>
      <c r="AH54" s="227">
        <f t="shared" si="0"/>
        <v>1</v>
      </c>
      <c r="AI54" s="227">
        <f t="shared" si="1"/>
        <v>0.76486383769891175</v>
      </c>
      <c r="AJ54" s="44"/>
      <c r="AK54" s="44"/>
      <c r="AL54" s="44"/>
      <c r="AM54" s="44"/>
      <c r="AN54" s="44"/>
      <c r="AO54" s="44"/>
      <c r="AP54" s="71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</row>
    <row r="55" spans="1:76" s="61" customFormat="1" ht="108.75" customHeight="1">
      <c r="A55" s="876"/>
      <c r="B55" s="877"/>
      <c r="C55" s="202"/>
      <c r="D55" s="890"/>
      <c r="E55" s="891"/>
      <c r="F55" s="72" t="s">
        <v>70</v>
      </c>
      <c r="G55" s="73" t="s">
        <v>71</v>
      </c>
      <c r="H55" s="44">
        <v>1</v>
      </c>
      <c r="I55" s="44"/>
      <c r="J55" s="44">
        <v>1</v>
      </c>
      <c r="K55" s="216">
        <f t="shared" si="4"/>
        <v>979435000</v>
      </c>
      <c r="L55" s="44">
        <v>1</v>
      </c>
      <c r="M55" s="68">
        <f>'[11]LAP SPJ ADMIN DES-PERUBH oke'!$Q$315</f>
        <v>16195000</v>
      </c>
      <c r="N55" s="44">
        <v>1</v>
      </c>
      <c r="O55" s="81">
        <f>'[12]LAP SPJ ADMINISTRATIF DESEMBER'!$E$278</f>
        <v>963240000</v>
      </c>
      <c r="P55" s="44"/>
      <c r="Q55" s="44"/>
      <c r="R55" s="44"/>
      <c r="S55" s="44"/>
      <c r="T55" s="44"/>
      <c r="U55" s="44"/>
      <c r="V55" s="44">
        <v>1</v>
      </c>
      <c r="W55" s="68">
        <v>16077750</v>
      </c>
      <c r="X55" s="44">
        <v>1</v>
      </c>
      <c r="Y55" s="74">
        <v>932077450</v>
      </c>
      <c r="Z55" s="44"/>
      <c r="AA55" s="44"/>
      <c r="AB55" s="44"/>
      <c r="AC55" s="44"/>
      <c r="AD55" s="44"/>
      <c r="AE55" s="44"/>
      <c r="AF55" s="227">
        <f t="shared" si="7"/>
        <v>1</v>
      </c>
      <c r="AG55" s="227">
        <f t="shared" si="8"/>
        <v>0.99276011114541529</v>
      </c>
      <c r="AH55" s="227">
        <f t="shared" si="0"/>
        <v>1</v>
      </c>
      <c r="AI55" s="227">
        <f t="shared" si="1"/>
        <v>0.96764819774926292</v>
      </c>
      <c r="AJ55" s="44"/>
      <c r="AK55" s="44"/>
      <c r="AL55" s="44"/>
      <c r="AM55" s="44"/>
      <c r="AN55" s="44"/>
      <c r="AO55" s="44"/>
      <c r="AP55" s="71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</row>
    <row r="56" spans="1:76" s="61" customFormat="1" ht="75.75" customHeight="1">
      <c r="A56" s="876"/>
      <c r="B56" s="877"/>
      <c r="C56" s="202"/>
      <c r="D56" s="890"/>
      <c r="E56" s="891"/>
      <c r="F56" s="77" t="s">
        <v>72</v>
      </c>
      <c r="G56" s="78" t="s">
        <v>73</v>
      </c>
      <c r="H56" s="44">
        <v>1</v>
      </c>
      <c r="I56" s="44"/>
      <c r="J56" s="44">
        <v>1</v>
      </c>
      <c r="K56" s="216">
        <f t="shared" si="4"/>
        <v>57460000</v>
      </c>
      <c r="L56" s="44">
        <v>1</v>
      </c>
      <c r="M56" s="68">
        <f>'[11]LAP SPJ ADMIN DES-PERUBH oke'!$Q$333</f>
        <v>29250000</v>
      </c>
      <c r="N56" s="44">
        <v>1</v>
      </c>
      <c r="O56" s="81">
        <f>'[12]LAP SPJ ADMINISTRATIF DESEMBER'!$E$298</f>
        <v>28210000</v>
      </c>
      <c r="P56" s="44"/>
      <c r="Q56" s="44"/>
      <c r="R56" s="44"/>
      <c r="S56" s="44"/>
      <c r="T56" s="44"/>
      <c r="U56" s="44"/>
      <c r="V56" s="44">
        <v>1</v>
      </c>
      <c r="W56" s="68">
        <v>21042900</v>
      </c>
      <c r="X56" s="44">
        <v>1</v>
      </c>
      <c r="Y56" s="74">
        <v>18714200</v>
      </c>
      <c r="Z56" s="44"/>
      <c r="AA56" s="44"/>
      <c r="AB56" s="44"/>
      <c r="AC56" s="44"/>
      <c r="AD56" s="44"/>
      <c r="AE56" s="44"/>
      <c r="AF56" s="227">
        <f t="shared" si="7"/>
        <v>1</v>
      </c>
      <c r="AG56" s="227">
        <f t="shared" si="8"/>
        <v>0.71941538461538457</v>
      </c>
      <c r="AH56" s="227">
        <f t="shared" si="0"/>
        <v>1</v>
      </c>
      <c r="AI56" s="227">
        <f t="shared" si="1"/>
        <v>0.66338886919532081</v>
      </c>
      <c r="AJ56" s="44"/>
      <c r="AK56" s="44"/>
      <c r="AL56" s="44"/>
      <c r="AM56" s="44"/>
      <c r="AN56" s="44"/>
      <c r="AO56" s="44"/>
      <c r="AP56" s="71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</row>
    <row r="57" spans="1:76" s="61" customFormat="1" ht="117" customHeight="1">
      <c r="A57" s="876"/>
      <c r="B57" s="877"/>
      <c r="C57" s="202"/>
      <c r="D57" s="890"/>
      <c r="E57" s="891"/>
      <c r="F57" s="72" t="s">
        <v>74</v>
      </c>
      <c r="G57" s="73" t="s">
        <v>75</v>
      </c>
      <c r="H57" s="44">
        <v>1</v>
      </c>
      <c r="I57" s="44"/>
      <c r="J57" s="44">
        <v>1</v>
      </c>
      <c r="K57" s="216">
        <f t="shared" si="4"/>
        <v>4395916000</v>
      </c>
      <c r="L57" s="44">
        <v>1</v>
      </c>
      <c r="M57" s="68">
        <f>'[11]LAP SPJ ADMIN DES-PERUBH oke'!$Q$351</f>
        <v>2259600000</v>
      </c>
      <c r="N57" s="44">
        <v>1</v>
      </c>
      <c r="O57" s="81">
        <f>'[12]LAP SPJ ADMINISTRATIF DESEMBER'!$E$318</f>
        <v>2136316000</v>
      </c>
      <c r="P57" s="44"/>
      <c r="Q57" s="44"/>
      <c r="R57" s="44"/>
      <c r="S57" s="44"/>
      <c r="T57" s="44"/>
      <c r="U57" s="44"/>
      <c r="V57" s="44">
        <v>1</v>
      </c>
      <c r="W57" s="68">
        <v>2252309000</v>
      </c>
      <c r="X57" s="44">
        <v>1</v>
      </c>
      <c r="Y57" s="74">
        <v>2123222700</v>
      </c>
      <c r="Z57" s="44"/>
      <c r="AA57" s="44"/>
      <c r="AB57" s="44"/>
      <c r="AC57" s="44"/>
      <c r="AD57" s="44"/>
      <c r="AE57" s="44"/>
      <c r="AF57" s="227">
        <f t="shared" si="7"/>
        <v>1</v>
      </c>
      <c r="AG57" s="227">
        <f t="shared" si="8"/>
        <v>0.99677332271198438</v>
      </c>
      <c r="AH57" s="227">
        <f t="shared" si="0"/>
        <v>1</v>
      </c>
      <c r="AI57" s="227">
        <f t="shared" si="1"/>
        <v>0.99387108461482288</v>
      </c>
      <c r="AJ57" s="44"/>
      <c r="AK57" s="44"/>
      <c r="AL57" s="44"/>
      <c r="AM57" s="44"/>
      <c r="AN57" s="44"/>
      <c r="AO57" s="44"/>
      <c r="AP57" s="71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</row>
    <row r="58" spans="1:76" s="61" customFormat="1" ht="150" customHeight="1">
      <c r="A58" s="876"/>
      <c r="B58" s="877"/>
      <c r="C58" s="202"/>
      <c r="D58" s="890"/>
      <c r="E58" s="891"/>
      <c r="F58" s="72" t="s">
        <v>76</v>
      </c>
      <c r="G58" s="73" t="s">
        <v>77</v>
      </c>
      <c r="H58" s="44">
        <v>1</v>
      </c>
      <c r="I58" s="44"/>
      <c r="J58" s="44">
        <v>1</v>
      </c>
      <c r="K58" s="216">
        <f t="shared" si="4"/>
        <v>287622000</v>
      </c>
      <c r="L58" s="44">
        <v>1</v>
      </c>
      <c r="M58" s="68">
        <f>'[11]LAP SPJ ADMIN DES-PERUBH oke'!$Q$358</f>
        <v>150273000</v>
      </c>
      <c r="N58" s="44">
        <v>1</v>
      </c>
      <c r="O58" s="81">
        <f>'[12]LAP SPJ ADMINISTRATIF DESEMBER'!$E$330</f>
        <v>137349000</v>
      </c>
      <c r="P58" s="44"/>
      <c r="Q58" s="44"/>
      <c r="R58" s="44"/>
      <c r="S58" s="44"/>
      <c r="T58" s="44"/>
      <c r="U58" s="44"/>
      <c r="V58" s="44">
        <v>1</v>
      </c>
      <c r="W58" s="68">
        <v>132005100</v>
      </c>
      <c r="X58" s="44">
        <v>1</v>
      </c>
      <c r="Y58" s="74">
        <v>122216150</v>
      </c>
      <c r="Z58" s="44"/>
      <c r="AA58" s="44"/>
      <c r="AB58" s="44"/>
      <c r="AC58" s="44"/>
      <c r="AD58" s="44"/>
      <c r="AE58" s="44"/>
      <c r="AF58" s="227">
        <f t="shared" si="7"/>
        <v>1</v>
      </c>
      <c r="AG58" s="227">
        <f t="shared" si="8"/>
        <v>0.87843524784891502</v>
      </c>
      <c r="AH58" s="227">
        <f t="shared" si="0"/>
        <v>1</v>
      </c>
      <c r="AI58" s="227">
        <f t="shared" si="1"/>
        <v>0.88982191351957418</v>
      </c>
      <c r="AJ58" s="44"/>
      <c r="AK58" s="44"/>
      <c r="AL58" s="44"/>
      <c r="AM58" s="44"/>
      <c r="AN58" s="44"/>
      <c r="AO58" s="44"/>
      <c r="AP58" s="71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</row>
    <row r="59" spans="1:76" s="61" customFormat="1" ht="77.25" customHeight="1">
      <c r="A59" s="876"/>
      <c r="B59" s="877"/>
      <c r="C59" s="202"/>
      <c r="D59" s="890"/>
      <c r="E59" s="891"/>
      <c r="F59" s="72" t="s">
        <v>78</v>
      </c>
      <c r="G59" s="73" t="s">
        <v>79</v>
      </c>
      <c r="H59" s="44">
        <v>1</v>
      </c>
      <c r="I59" s="44"/>
      <c r="J59" s="44">
        <v>1</v>
      </c>
      <c r="K59" s="216">
        <f t="shared" si="4"/>
        <v>32100000</v>
      </c>
      <c r="L59" s="44"/>
      <c r="M59" s="81">
        <v>0</v>
      </c>
      <c r="N59" s="44">
        <v>1</v>
      </c>
      <c r="O59" s="81">
        <f>'[12]LAP SPJ ADMINISTRATIF DESEMBER'!$E$344</f>
        <v>32100000</v>
      </c>
      <c r="P59" s="44"/>
      <c r="Q59" s="44"/>
      <c r="R59" s="44"/>
      <c r="S59" s="44"/>
      <c r="T59" s="44"/>
      <c r="U59" s="44"/>
      <c r="V59" s="44"/>
      <c r="W59" s="81">
        <v>0</v>
      </c>
      <c r="X59" s="44">
        <v>1</v>
      </c>
      <c r="Y59" s="74">
        <v>23766850</v>
      </c>
      <c r="Z59" s="44"/>
      <c r="AA59" s="44"/>
      <c r="AB59" s="44"/>
      <c r="AC59" s="44"/>
      <c r="AD59" s="44"/>
      <c r="AE59" s="44"/>
      <c r="AF59" s="227">
        <v>0</v>
      </c>
      <c r="AG59" s="227">
        <v>0</v>
      </c>
      <c r="AH59" s="227">
        <f t="shared" si="0"/>
        <v>1</v>
      </c>
      <c r="AI59" s="227">
        <f t="shared" si="1"/>
        <v>0.74040031152647978</v>
      </c>
      <c r="AJ59" s="44"/>
      <c r="AK59" s="44"/>
      <c r="AL59" s="44"/>
      <c r="AM59" s="44"/>
      <c r="AN59" s="44"/>
      <c r="AO59" s="44"/>
      <c r="AP59" s="71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</row>
    <row r="60" spans="1:76" s="61" customFormat="1" ht="75" customHeight="1">
      <c r="A60" s="876"/>
      <c r="B60" s="877"/>
      <c r="C60" s="202"/>
      <c r="D60" s="890"/>
      <c r="E60" s="891"/>
      <c r="F60" s="72" t="s">
        <v>80</v>
      </c>
      <c r="G60" s="73" t="s">
        <v>81</v>
      </c>
      <c r="H60" s="44">
        <v>1</v>
      </c>
      <c r="I60" s="44"/>
      <c r="J60" s="44">
        <v>1</v>
      </c>
      <c r="K60" s="216">
        <f t="shared" si="4"/>
        <v>1075573000</v>
      </c>
      <c r="L60" s="44">
        <v>1</v>
      </c>
      <c r="M60" s="68">
        <f>'[11]LAP SPJ ADMIN DES-PERUBH oke'!$Q$376</f>
        <v>633570000</v>
      </c>
      <c r="N60" s="44">
        <v>1</v>
      </c>
      <c r="O60" s="81">
        <f>'[12]LAP SPJ ADMINISTRATIF DESEMBER'!$E$369</f>
        <v>442003000</v>
      </c>
      <c r="P60" s="44"/>
      <c r="Q60" s="44"/>
      <c r="R60" s="44"/>
      <c r="S60" s="44"/>
      <c r="T60" s="44"/>
      <c r="U60" s="44"/>
      <c r="V60" s="44">
        <v>1</v>
      </c>
      <c r="W60" s="68">
        <v>581618925</v>
      </c>
      <c r="X60" s="44">
        <v>1</v>
      </c>
      <c r="Y60" s="74">
        <v>401647750</v>
      </c>
      <c r="Z60" s="44"/>
      <c r="AA60" s="44"/>
      <c r="AB60" s="44"/>
      <c r="AC60" s="44"/>
      <c r="AD60" s="44"/>
      <c r="AE60" s="44"/>
      <c r="AF60" s="227">
        <f t="shared" si="7"/>
        <v>1</v>
      </c>
      <c r="AG60" s="227">
        <f t="shared" si="8"/>
        <v>0.91800262796533927</v>
      </c>
      <c r="AH60" s="227">
        <f t="shared" si="0"/>
        <v>1</v>
      </c>
      <c r="AI60" s="227">
        <f t="shared" si="1"/>
        <v>0.90869914910079796</v>
      </c>
      <c r="AJ60" s="44"/>
      <c r="AK60" s="44"/>
      <c r="AL60" s="44"/>
      <c r="AM60" s="44"/>
      <c r="AN60" s="44"/>
      <c r="AO60" s="44"/>
      <c r="AP60" s="71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</row>
    <row r="61" spans="1:76" s="61" customFormat="1" ht="77.25" customHeight="1">
      <c r="A61" s="876"/>
      <c r="B61" s="877"/>
      <c r="C61" s="202"/>
      <c r="D61" s="890"/>
      <c r="E61" s="891"/>
      <c r="F61" s="72" t="s">
        <v>82</v>
      </c>
      <c r="G61" s="73" t="s">
        <v>83</v>
      </c>
      <c r="H61" s="44">
        <v>1</v>
      </c>
      <c r="I61" s="44"/>
      <c r="J61" s="44">
        <v>1</v>
      </c>
      <c r="K61" s="216">
        <f t="shared" si="4"/>
        <v>86205000</v>
      </c>
      <c r="L61" s="44">
        <v>1</v>
      </c>
      <c r="M61" s="68">
        <f>'[11]LAP SPJ ADMIN DES-PERUBH oke'!$Q$273+'[11]LAP SPJ ADMIN DES-PERUBH oke'!$Q$287</f>
        <v>40375000</v>
      </c>
      <c r="N61" s="44">
        <v>1</v>
      </c>
      <c r="O61" s="81">
        <f>'[12]LAP SPJ ADMINISTRATIF DESEMBER'!$E$400</f>
        <v>45830000</v>
      </c>
      <c r="P61" s="44"/>
      <c r="Q61" s="44"/>
      <c r="R61" s="44"/>
      <c r="S61" s="44"/>
      <c r="T61" s="44"/>
      <c r="U61" s="44"/>
      <c r="V61" s="44">
        <v>1</v>
      </c>
      <c r="W61" s="68">
        <v>18187500</v>
      </c>
      <c r="X61" s="44">
        <v>1</v>
      </c>
      <c r="Y61" s="74">
        <v>19096650</v>
      </c>
      <c r="Z61" s="44"/>
      <c r="AA61" s="44"/>
      <c r="AB61" s="44"/>
      <c r="AC61" s="44"/>
      <c r="AD61" s="44"/>
      <c r="AE61" s="44"/>
      <c r="AF61" s="227">
        <f t="shared" si="7"/>
        <v>1</v>
      </c>
      <c r="AG61" s="227">
        <f t="shared" si="8"/>
        <v>0.4504643962848297</v>
      </c>
      <c r="AH61" s="227">
        <f t="shared" si="0"/>
        <v>1</v>
      </c>
      <c r="AI61" s="227">
        <f t="shared" si="1"/>
        <v>0.41668448614444686</v>
      </c>
      <c r="AJ61" s="44"/>
      <c r="AK61" s="44"/>
      <c r="AL61" s="44"/>
      <c r="AM61" s="44"/>
      <c r="AN61" s="44"/>
      <c r="AO61" s="44"/>
      <c r="AP61" s="71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</row>
    <row r="62" spans="1:76" s="61" customFormat="1" ht="88.5" customHeight="1">
      <c r="A62" s="876"/>
      <c r="B62" s="877"/>
      <c r="C62" s="202"/>
      <c r="D62" s="890"/>
      <c r="E62" s="891"/>
      <c r="F62" s="72" t="s">
        <v>84</v>
      </c>
      <c r="G62" s="73" t="s">
        <v>85</v>
      </c>
      <c r="H62" s="44">
        <v>1</v>
      </c>
      <c r="I62" s="44"/>
      <c r="J62" s="44">
        <v>1</v>
      </c>
      <c r="K62" s="216">
        <f t="shared" si="4"/>
        <v>27345000</v>
      </c>
      <c r="L62" s="44">
        <v>1</v>
      </c>
      <c r="M62" s="68">
        <f>'[11]LAP SPJ ADMIN DES-PERUBH oke'!$Q$404</f>
        <v>12545000</v>
      </c>
      <c r="N62" s="44">
        <v>1</v>
      </c>
      <c r="O62" s="81">
        <f>'[12]LAP SPJ ADMINISTRATIF DESEMBER'!$E$415</f>
        <v>14800000</v>
      </c>
      <c r="P62" s="44"/>
      <c r="Q62" s="44"/>
      <c r="R62" s="44"/>
      <c r="S62" s="44"/>
      <c r="T62" s="44"/>
      <c r="U62" s="44"/>
      <c r="V62" s="44">
        <v>1</v>
      </c>
      <c r="W62" s="68">
        <v>12493900</v>
      </c>
      <c r="X62" s="44">
        <v>1</v>
      </c>
      <c r="Y62" s="74">
        <v>11077800</v>
      </c>
      <c r="Z62" s="44"/>
      <c r="AA62" s="44"/>
      <c r="AB62" s="44"/>
      <c r="AC62" s="44"/>
      <c r="AD62" s="44"/>
      <c r="AE62" s="44"/>
      <c r="AF62" s="227">
        <f t="shared" si="7"/>
        <v>1</v>
      </c>
      <c r="AG62" s="227">
        <f t="shared" si="8"/>
        <v>0.99592666400956553</v>
      </c>
      <c r="AH62" s="227">
        <f t="shared" si="0"/>
        <v>1</v>
      </c>
      <c r="AI62" s="227">
        <f t="shared" si="1"/>
        <v>0.74850000000000005</v>
      </c>
      <c r="AJ62" s="44"/>
      <c r="AK62" s="44"/>
      <c r="AL62" s="44"/>
      <c r="AM62" s="44"/>
      <c r="AN62" s="44"/>
      <c r="AO62" s="44"/>
      <c r="AP62" s="71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</row>
    <row r="63" spans="1:76" s="61" customFormat="1" ht="49.5" customHeight="1">
      <c r="A63" s="876"/>
      <c r="B63" s="877"/>
      <c r="C63" s="202"/>
      <c r="D63" s="890"/>
      <c r="E63" s="891"/>
      <c r="F63" s="72" t="s">
        <v>86</v>
      </c>
      <c r="G63" s="73" t="s">
        <v>87</v>
      </c>
      <c r="H63" s="44">
        <v>1</v>
      </c>
      <c r="I63" s="44"/>
      <c r="J63" s="44">
        <v>1</v>
      </c>
      <c r="K63" s="216">
        <f t="shared" si="4"/>
        <v>6696000</v>
      </c>
      <c r="L63" s="44">
        <v>1</v>
      </c>
      <c r="M63" s="68">
        <f>'[11]LAP SPJ ADMIN DES-PERUBH oke'!$Q$503</f>
        <v>6696000</v>
      </c>
      <c r="N63" s="44">
        <v>0</v>
      </c>
      <c r="O63" s="81">
        <f>'[12]LAP SPJ ADMINISTRATIF DESEMBER'!$E$243</f>
        <v>0</v>
      </c>
      <c r="P63" s="44"/>
      <c r="Q63" s="44"/>
      <c r="R63" s="44"/>
      <c r="S63" s="44"/>
      <c r="T63" s="44"/>
      <c r="U63" s="44"/>
      <c r="V63" s="44">
        <v>1</v>
      </c>
      <c r="W63" s="68">
        <v>6674650</v>
      </c>
      <c r="X63" s="44">
        <v>0</v>
      </c>
      <c r="Y63" s="74"/>
      <c r="Z63" s="44"/>
      <c r="AA63" s="44"/>
      <c r="AB63" s="44"/>
      <c r="AC63" s="44"/>
      <c r="AD63" s="44"/>
      <c r="AE63" s="44"/>
      <c r="AF63" s="227">
        <f t="shared" si="7"/>
        <v>1</v>
      </c>
      <c r="AG63" s="227">
        <f t="shared" si="8"/>
        <v>0.99681152927120664</v>
      </c>
      <c r="AH63" s="227">
        <v>0</v>
      </c>
      <c r="AI63" s="227">
        <v>0</v>
      </c>
      <c r="AJ63" s="44"/>
      <c r="AK63" s="44"/>
      <c r="AL63" s="44"/>
      <c r="AM63" s="44"/>
      <c r="AN63" s="44"/>
      <c r="AO63" s="44"/>
      <c r="AP63" s="71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</row>
    <row r="64" spans="1:76" s="61" customFormat="1" ht="96" customHeight="1">
      <c r="A64" s="876"/>
      <c r="B64" s="877"/>
      <c r="C64" s="202"/>
      <c r="D64" s="890"/>
      <c r="E64" s="891"/>
      <c r="F64" s="77" t="s">
        <v>88</v>
      </c>
      <c r="G64" s="78" t="s">
        <v>89</v>
      </c>
      <c r="H64" s="44">
        <v>1</v>
      </c>
      <c r="I64" s="44"/>
      <c r="J64" s="44">
        <v>1</v>
      </c>
      <c r="K64" s="216">
        <f t="shared" si="4"/>
        <v>315940950</v>
      </c>
      <c r="L64" s="44">
        <v>1</v>
      </c>
      <c r="M64" s="68">
        <f>'[11]LAP SPJ ADMIN DES-PERUBH oke'!$Q$467+'[11]LAP SPJ ADMIN DES-PERUBH oke'!$Q$486</f>
        <v>118840000</v>
      </c>
      <c r="N64" s="44">
        <v>1</v>
      </c>
      <c r="O64" s="81">
        <f>'[12]LAP SPJ ADMINISTRATIF DESEMBER'!$E$430</f>
        <v>197100950</v>
      </c>
      <c r="P64" s="44"/>
      <c r="Q64" s="44"/>
      <c r="R64" s="44"/>
      <c r="S64" s="44"/>
      <c r="T64" s="44"/>
      <c r="U64" s="44"/>
      <c r="V64" s="44">
        <v>1</v>
      </c>
      <c r="W64" s="68">
        <v>110745300</v>
      </c>
      <c r="X64" s="44">
        <v>1</v>
      </c>
      <c r="Y64" s="74">
        <v>166941475</v>
      </c>
      <c r="Z64" s="44"/>
      <c r="AA64" s="44"/>
      <c r="AB64" s="44"/>
      <c r="AC64" s="44"/>
      <c r="AD64" s="44"/>
      <c r="AE64" s="44"/>
      <c r="AF64" s="227">
        <f t="shared" si="7"/>
        <v>1</v>
      </c>
      <c r="AG64" s="227">
        <f t="shared" si="8"/>
        <v>0.93188572871087172</v>
      </c>
      <c r="AH64" s="227">
        <f t="shared" si="0"/>
        <v>1</v>
      </c>
      <c r="AI64" s="227">
        <f t="shared" si="1"/>
        <v>0.84698462894268145</v>
      </c>
      <c r="AJ64" s="44"/>
      <c r="AK64" s="44"/>
      <c r="AL64" s="44"/>
      <c r="AM64" s="44"/>
      <c r="AN64" s="44"/>
      <c r="AO64" s="44"/>
      <c r="AP64" s="71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</row>
    <row r="65" spans="1:76" s="61" customFormat="1" ht="83.25" customHeight="1">
      <c r="A65" s="876"/>
      <c r="B65" s="877"/>
      <c r="C65" s="202"/>
      <c r="D65" s="890"/>
      <c r="E65" s="891"/>
      <c r="F65" s="72" t="s">
        <v>90</v>
      </c>
      <c r="G65" s="73" t="s">
        <v>91</v>
      </c>
      <c r="H65" s="44">
        <v>1</v>
      </c>
      <c r="I65" s="44"/>
      <c r="J65" s="44">
        <v>1</v>
      </c>
      <c r="K65" s="216">
        <f t="shared" si="4"/>
        <v>3093043500</v>
      </c>
      <c r="L65" s="44">
        <v>1</v>
      </c>
      <c r="M65" s="68">
        <f>'[11]LAP SPJ ADMIN DES-PERUBH oke'!$Q$523</f>
        <v>1428654500</v>
      </c>
      <c r="N65" s="44">
        <v>1</v>
      </c>
      <c r="O65" s="81">
        <f>'[12]LAP SPJ ADMINISTRATIF DESEMBER'!$E$453</f>
        <v>1664389000</v>
      </c>
      <c r="P65" s="44"/>
      <c r="Q65" s="44"/>
      <c r="R65" s="44"/>
      <c r="S65" s="44"/>
      <c r="T65" s="44"/>
      <c r="U65" s="44"/>
      <c r="V65" s="44">
        <v>1</v>
      </c>
      <c r="W65" s="68">
        <v>90082750</v>
      </c>
      <c r="X65" s="44">
        <v>1</v>
      </c>
      <c r="Y65" s="74">
        <v>1574288628.2</v>
      </c>
      <c r="Z65" s="44"/>
      <c r="AA65" s="44"/>
      <c r="AB65" s="44"/>
      <c r="AC65" s="44"/>
      <c r="AD65" s="44"/>
      <c r="AE65" s="44"/>
      <c r="AF65" s="227">
        <f t="shared" si="7"/>
        <v>1</v>
      </c>
      <c r="AG65" s="227">
        <f t="shared" si="8"/>
        <v>6.3054258394874343E-2</v>
      </c>
      <c r="AH65" s="227">
        <f t="shared" si="0"/>
        <v>1</v>
      </c>
      <c r="AI65" s="227">
        <f t="shared" si="1"/>
        <v>0.94586579711834196</v>
      </c>
      <c r="AJ65" s="44"/>
      <c r="AK65" s="44"/>
      <c r="AL65" s="44"/>
      <c r="AM65" s="44"/>
      <c r="AN65" s="44"/>
      <c r="AO65" s="44"/>
      <c r="AP65" s="71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</row>
    <row r="66" spans="1:76" s="61" customFormat="1" ht="71.25" customHeight="1">
      <c r="A66" s="876"/>
      <c r="B66" s="877"/>
      <c r="C66" s="202"/>
      <c r="D66" s="890"/>
      <c r="E66" s="891"/>
      <c r="F66" s="72" t="s">
        <v>92</v>
      </c>
      <c r="G66" s="73" t="s">
        <v>93</v>
      </c>
      <c r="H66" s="44">
        <v>1</v>
      </c>
      <c r="I66" s="44"/>
      <c r="J66" s="44">
        <v>1</v>
      </c>
      <c r="K66" s="216">
        <f t="shared" si="4"/>
        <v>3315770800</v>
      </c>
      <c r="L66" s="44">
        <v>1</v>
      </c>
      <c r="M66" s="68">
        <f>'[11]LAP SPJ ADMIN DES-PERUBH oke'!$Q$544</f>
        <v>1394873500</v>
      </c>
      <c r="N66" s="44">
        <v>1</v>
      </c>
      <c r="O66" s="81">
        <f>'[12]LAP SPJ ADMINISTRATIF DESEMBER'!$E$500</f>
        <v>1920897300</v>
      </c>
      <c r="P66" s="44"/>
      <c r="Q66" s="44"/>
      <c r="R66" s="44"/>
      <c r="S66" s="44"/>
      <c r="T66" s="44"/>
      <c r="U66" s="44"/>
      <c r="V66" s="44">
        <v>1</v>
      </c>
      <c r="W66" s="68">
        <v>972309635</v>
      </c>
      <c r="X66" s="44">
        <v>1</v>
      </c>
      <c r="Y66" s="74">
        <v>1535429575</v>
      </c>
      <c r="Z66" s="44"/>
      <c r="AA66" s="44"/>
      <c r="AB66" s="44"/>
      <c r="AC66" s="44"/>
      <c r="AD66" s="44"/>
      <c r="AE66" s="44"/>
      <c r="AF66" s="227">
        <f t="shared" si="7"/>
        <v>1</v>
      </c>
      <c r="AG66" s="227">
        <f t="shared" si="8"/>
        <v>0.69705936416456404</v>
      </c>
      <c r="AH66" s="227">
        <f t="shared" si="0"/>
        <v>1</v>
      </c>
      <c r="AI66" s="227">
        <f t="shared" si="1"/>
        <v>0.79932934207362361</v>
      </c>
      <c r="AJ66" s="44"/>
      <c r="AK66" s="44"/>
      <c r="AL66" s="44"/>
      <c r="AM66" s="44"/>
      <c r="AN66" s="44"/>
      <c r="AO66" s="44"/>
      <c r="AP66" s="71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</row>
    <row r="67" spans="1:76" s="61" customFormat="1" ht="71.25" customHeight="1">
      <c r="A67" s="876"/>
      <c r="B67" s="877"/>
      <c r="C67" s="202"/>
      <c r="D67" s="890"/>
      <c r="E67" s="891"/>
      <c r="F67" s="72" t="s">
        <v>94</v>
      </c>
      <c r="G67" s="73" t="s">
        <v>95</v>
      </c>
      <c r="H67" s="44">
        <v>1</v>
      </c>
      <c r="I67" s="44"/>
      <c r="J67" s="44">
        <v>1</v>
      </c>
      <c r="K67" s="216">
        <f t="shared" si="4"/>
        <v>272712000</v>
      </c>
      <c r="L67" s="44">
        <v>1</v>
      </c>
      <c r="M67" s="68">
        <f>'[11]LAP SPJ ADMIN DES-PERUBH oke'!$Q$440</f>
        <v>55600000</v>
      </c>
      <c r="N67" s="44">
        <v>1</v>
      </c>
      <c r="O67" s="81">
        <f>'[12]LAP SPJ ADMINISTRATIF DESEMBER'!$E$541</f>
        <v>217112000</v>
      </c>
      <c r="P67" s="44"/>
      <c r="Q67" s="44"/>
      <c r="R67" s="44"/>
      <c r="S67" s="44"/>
      <c r="T67" s="44"/>
      <c r="U67" s="44"/>
      <c r="V67" s="44">
        <v>1</v>
      </c>
      <c r="W67" s="68">
        <v>55489750</v>
      </c>
      <c r="X67" s="44">
        <v>1</v>
      </c>
      <c r="Y67" s="74">
        <v>176110300</v>
      </c>
      <c r="Z67" s="44"/>
      <c r="AA67" s="44"/>
      <c r="AB67" s="44"/>
      <c r="AC67" s="44"/>
      <c r="AD67" s="44"/>
      <c r="AE67" s="44"/>
      <c r="AF67" s="227">
        <f t="shared" si="7"/>
        <v>1</v>
      </c>
      <c r="AG67" s="227">
        <f t="shared" si="8"/>
        <v>0.99801708633093522</v>
      </c>
      <c r="AH67" s="227">
        <f t="shared" si="0"/>
        <v>1</v>
      </c>
      <c r="AI67" s="227">
        <f t="shared" si="1"/>
        <v>0.81114954493533287</v>
      </c>
      <c r="AJ67" s="44"/>
      <c r="AK67" s="44"/>
      <c r="AL67" s="44"/>
      <c r="AM67" s="44"/>
      <c r="AN67" s="44"/>
      <c r="AO67" s="44"/>
      <c r="AP67" s="71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</row>
    <row r="68" spans="1:76" s="61" customFormat="1" ht="104.25" customHeight="1">
      <c r="A68" s="876"/>
      <c r="B68" s="877"/>
      <c r="C68" s="202"/>
      <c r="D68" s="890"/>
      <c r="E68" s="891"/>
      <c r="F68" s="72" t="s">
        <v>96</v>
      </c>
      <c r="G68" s="73" t="s">
        <v>97</v>
      </c>
      <c r="H68" s="44">
        <v>1</v>
      </c>
      <c r="I68" s="44"/>
      <c r="J68" s="44">
        <v>1</v>
      </c>
      <c r="K68" s="216">
        <f t="shared" si="4"/>
        <v>190664000</v>
      </c>
      <c r="L68" s="44">
        <v>1</v>
      </c>
      <c r="M68" s="68">
        <f>'[11]LAP SPJ ADMIN DES-PERUBH oke'!$Q$416</f>
        <v>88657000</v>
      </c>
      <c r="N68" s="44">
        <v>1</v>
      </c>
      <c r="O68" s="81">
        <f>'[12]LAP SPJ ADMINISTRATIF DESEMBER'!$E$571</f>
        <v>102007000</v>
      </c>
      <c r="P68" s="44"/>
      <c r="Q68" s="44"/>
      <c r="R68" s="44"/>
      <c r="S68" s="44"/>
      <c r="T68" s="44"/>
      <c r="U68" s="44"/>
      <c r="V68" s="44">
        <v>1</v>
      </c>
      <c r="W68" s="68">
        <v>47282100</v>
      </c>
      <c r="X68" s="44">
        <v>1</v>
      </c>
      <c r="Y68" s="74">
        <v>58571800</v>
      </c>
      <c r="Z68" s="44"/>
      <c r="AA68" s="44"/>
      <c r="AB68" s="44"/>
      <c r="AC68" s="44"/>
      <c r="AD68" s="44"/>
      <c r="AE68" s="44"/>
      <c r="AF68" s="227">
        <f t="shared" si="7"/>
        <v>1</v>
      </c>
      <c r="AG68" s="227">
        <f t="shared" si="8"/>
        <v>0.53331491027217248</v>
      </c>
      <c r="AH68" s="227">
        <f t="shared" si="0"/>
        <v>1</v>
      </c>
      <c r="AI68" s="227">
        <f t="shared" si="1"/>
        <v>0.57419392786769541</v>
      </c>
      <c r="AJ68" s="44"/>
      <c r="AK68" s="44"/>
      <c r="AL68" s="44"/>
      <c r="AM68" s="44"/>
      <c r="AN68" s="44"/>
      <c r="AO68" s="44"/>
      <c r="AP68" s="71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</row>
    <row r="69" spans="1:76" s="61" customFormat="1" ht="114.75" customHeight="1">
      <c r="A69" s="876"/>
      <c r="B69" s="877"/>
      <c r="C69" s="202"/>
      <c r="D69" s="890"/>
      <c r="E69" s="891"/>
      <c r="F69" s="72" t="s">
        <v>98</v>
      </c>
      <c r="G69" s="73" t="s">
        <v>91</v>
      </c>
      <c r="H69" s="44">
        <v>1</v>
      </c>
      <c r="I69" s="44"/>
      <c r="J69" s="44">
        <v>1</v>
      </c>
      <c r="K69" s="216">
        <f t="shared" si="4"/>
        <v>359221000</v>
      </c>
      <c r="L69" s="44">
        <v>1</v>
      </c>
      <c r="M69" s="68">
        <f>'[11]LAP SPJ ADMIN DES-PERUBH oke'!$Q$610</f>
        <v>359221000</v>
      </c>
      <c r="N69" s="70"/>
      <c r="O69" s="56">
        <v>0</v>
      </c>
      <c r="P69" s="44"/>
      <c r="Q69" s="44"/>
      <c r="R69" s="44"/>
      <c r="S69" s="44"/>
      <c r="T69" s="44"/>
      <c r="U69" s="44"/>
      <c r="V69" s="44">
        <v>1</v>
      </c>
      <c r="W69" s="68">
        <v>191416440</v>
      </c>
      <c r="X69" s="82"/>
      <c r="Y69" s="82">
        <v>0</v>
      </c>
      <c r="Z69" s="44"/>
      <c r="AA69" s="44"/>
      <c r="AB69" s="44"/>
      <c r="AC69" s="44"/>
      <c r="AD69" s="44"/>
      <c r="AE69" s="44"/>
      <c r="AF69" s="227">
        <f t="shared" si="7"/>
        <v>1</v>
      </c>
      <c r="AG69" s="227">
        <f t="shared" si="8"/>
        <v>0.5328653948405021</v>
      </c>
      <c r="AH69" s="227">
        <v>0</v>
      </c>
      <c r="AI69" s="227">
        <v>0</v>
      </c>
      <c r="AJ69" s="44"/>
      <c r="AK69" s="44"/>
      <c r="AL69" s="44"/>
      <c r="AM69" s="44"/>
      <c r="AN69" s="44"/>
      <c r="AO69" s="44"/>
      <c r="AP69" s="22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</row>
    <row r="70" spans="1:76" s="61" customFormat="1" ht="119.25" customHeight="1">
      <c r="A70" s="878"/>
      <c r="B70" s="879"/>
      <c r="C70" s="203"/>
      <c r="D70" s="908"/>
      <c r="E70" s="909"/>
      <c r="F70" s="72" t="s">
        <v>99</v>
      </c>
      <c r="G70" s="73" t="s">
        <v>93</v>
      </c>
      <c r="H70" s="44">
        <v>1</v>
      </c>
      <c r="I70" s="44"/>
      <c r="J70" s="44">
        <v>1</v>
      </c>
      <c r="K70" s="216">
        <f t="shared" si="4"/>
        <v>1084634500</v>
      </c>
      <c r="L70" s="44">
        <v>1</v>
      </c>
      <c r="M70" s="68">
        <f>'[11]LAP SPJ ADMIN DES-PERUBH oke'!$Q$577</f>
        <v>1084634500</v>
      </c>
      <c r="N70" s="71"/>
      <c r="O70" s="55">
        <v>0</v>
      </c>
      <c r="P70" s="44"/>
      <c r="Q70" s="44"/>
      <c r="R70" s="44"/>
      <c r="S70" s="44"/>
      <c r="T70" s="44"/>
      <c r="U70" s="44"/>
      <c r="V70" s="44">
        <v>1</v>
      </c>
      <c r="W70" s="68">
        <v>538174725</v>
      </c>
      <c r="X70" s="22"/>
      <c r="Y70" s="22">
        <v>0</v>
      </c>
      <c r="Z70" s="44"/>
      <c r="AA70" s="44"/>
      <c r="AB70" s="44"/>
      <c r="AC70" s="44"/>
      <c r="AD70" s="44"/>
      <c r="AE70" s="44"/>
      <c r="AF70" s="227">
        <f t="shared" si="7"/>
        <v>1</v>
      </c>
      <c r="AG70" s="227">
        <f t="shared" si="8"/>
        <v>0.49618071802067887</v>
      </c>
      <c r="AH70" s="227">
        <v>0</v>
      </c>
      <c r="AI70" s="227">
        <v>0</v>
      </c>
      <c r="AJ70" s="44"/>
      <c r="AK70" s="44"/>
      <c r="AL70" s="44"/>
      <c r="AM70" s="44"/>
      <c r="AN70" s="44"/>
      <c r="AO70" s="44"/>
      <c r="AP70" s="22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</row>
    <row r="71" spans="1:76" s="61" customFormat="1" ht="42.75" customHeight="1">
      <c r="A71" s="874" t="s">
        <v>100</v>
      </c>
      <c r="B71" s="875"/>
      <c r="C71" s="272" t="s">
        <v>585</v>
      </c>
      <c r="D71" s="273"/>
      <c r="E71" s="274"/>
      <c r="F71" s="275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</row>
    <row r="72" spans="1:76" ht="120.75" customHeight="1">
      <c r="A72" s="84"/>
      <c r="B72" s="85"/>
      <c r="C72" s="204"/>
      <c r="D72" s="910" t="s">
        <v>101</v>
      </c>
      <c r="E72" s="911"/>
      <c r="F72" s="86"/>
      <c r="G72" s="87" t="s">
        <v>544</v>
      </c>
      <c r="H72" s="88" t="s">
        <v>38</v>
      </c>
      <c r="I72" s="88"/>
      <c r="J72" s="88">
        <v>39</v>
      </c>
      <c r="K72" s="88"/>
      <c r="L72" s="559">
        <v>0.31519999999999998</v>
      </c>
      <c r="M72" s="89"/>
      <c r="N72" s="559">
        <v>0.33929999999999999</v>
      </c>
      <c r="O72" s="89"/>
      <c r="P72" s="559">
        <v>0.35</v>
      </c>
      <c r="Q72" s="89"/>
      <c r="R72" s="559">
        <v>0.37</v>
      </c>
      <c r="S72" s="89"/>
      <c r="T72" s="235">
        <v>0.39</v>
      </c>
      <c r="U72" s="89"/>
      <c r="V72" s="559">
        <v>0.31519999999999998</v>
      </c>
      <c r="W72" s="88"/>
      <c r="X72" s="559">
        <v>0.33929999999999999</v>
      </c>
      <c r="Y72" s="88"/>
      <c r="Z72" s="559">
        <v>0.38069999999999998</v>
      </c>
      <c r="AA72" s="89"/>
      <c r="AB72" s="794">
        <v>0.38279999999999997</v>
      </c>
      <c r="AC72" s="88"/>
      <c r="AD72" s="235">
        <v>0.39</v>
      </c>
      <c r="AE72" s="88"/>
      <c r="AF72" s="235">
        <f>V72/L72</f>
        <v>1</v>
      </c>
      <c r="AG72" s="88"/>
      <c r="AH72" s="235">
        <f>X72/N72</f>
        <v>1</v>
      </c>
      <c r="AI72" s="88"/>
      <c r="AJ72" s="235">
        <f>Z72/P72</f>
        <v>1.0877142857142856</v>
      </c>
      <c r="AK72" s="88"/>
      <c r="AL72" s="560">
        <f>AB72/R72</f>
        <v>1.0345945945945945</v>
      </c>
      <c r="AM72" s="88"/>
      <c r="AN72" s="796">
        <f>AD72/T72</f>
        <v>1</v>
      </c>
      <c r="AO72" s="88"/>
      <c r="AP72" s="90"/>
    </row>
    <row r="73" spans="1:76" ht="106.75" customHeight="1">
      <c r="A73" s="872"/>
      <c r="B73" s="873"/>
      <c r="C73" s="561"/>
      <c r="D73" s="912" t="s">
        <v>102</v>
      </c>
      <c r="E73" s="912"/>
      <c r="F73" s="86"/>
      <c r="G73" s="562" t="s">
        <v>103</v>
      </c>
      <c r="H73" s="88" t="s">
        <v>38</v>
      </c>
      <c r="I73" s="88"/>
      <c r="J73" s="88">
        <v>90</v>
      </c>
      <c r="K73" s="88"/>
      <c r="L73" s="567">
        <v>83.9</v>
      </c>
      <c r="M73" s="89"/>
      <c r="N73" s="568">
        <v>88.97</v>
      </c>
      <c r="O73" s="89"/>
      <c r="P73" s="567">
        <v>89.25</v>
      </c>
      <c r="Q73" s="89">
        <v>0</v>
      </c>
      <c r="R73" s="567">
        <v>97.8</v>
      </c>
      <c r="S73" s="89">
        <v>0</v>
      </c>
      <c r="T73" s="797">
        <v>97.8</v>
      </c>
      <c r="U73" s="89">
        <v>0</v>
      </c>
      <c r="V73" s="567">
        <v>83.9</v>
      </c>
      <c r="W73" s="88"/>
      <c r="X73" s="568">
        <v>88.97</v>
      </c>
      <c r="Y73" s="88"/>
      <c r="Z73" s="567">
        <v>97.8</v>
      </c>
      <c r="AA73" s="89">
        <v>0</v>
      </c>
      <c r="AB73" s="567">
        <v>98.09</v>
      </c>
      <c r="AC73" s="88"/>
      <c r="AD73" s="120">
        <v>93.3</v>
      </c>
      <c r="AE73" s="88"/>
      <c r="AF73" s="565">
        <f>V73/L73</f>
        <v>1</v>
      </c>
      <c r="AG73" s="88"/>
      <c r="AH73" s="565">
        <f>X73/N73</f>
        <v>1</v>
      </c>
      <c r="AI73" s="88"/>
      <c r="AJ73" s="565">
        <f>Z73/P73</f>
        <v>1.095798319327731</v>
      </c>
      <c r="AK73" s="88"/>
      <c r="AL73" s="566">
        <f>AB73/R73</f>
        <v>1.0029652351738243</v>
      </c>
      <c r="AM73" s="88"/>
      <c r="AN73" s="795">
        <f>AD73/T73</f>
        <v>0.95398773006134974</v>
      </c>
      <c r="AO73" s="88"/>
      <c r="AP73" s="90"/>
    </row>
    <row r="74" spans="1:76" ht="111.75" customHeight="1">
      <c r="A74" s="91"/>
      <c r="B74" s="92"/>
      <c r="C74" s="205">
        <v>1</v>
      </c>
      <c r="D74" s="93"/>
      <c r="E74" s="94"/>
      <c r="F74" s="96" t="s">
        <v>104</v>
      </c>
      <c r="G74" s="97" t="s">
        <v>36</v>
      </c>
      <c r="H74" s="98" t="s">
        <v>545</v>
      </c>
      <c r="I74" s="98"/>
      <c r="J74" s="213">
        <v>1</v>
      </c>
      <c r="K74" s="99">
        <f>K75+K77+K79+K88+K93+K97</f>
        <v>35571169951</v>
      </c>
      <c r="L74" s="98"/>
      <c r="M74" s="98"/>
      <c r="N74" s="98"/>
      <c r="O74" s="98"/>
      <c r="P74" s="213">
        <v>0.9</v>
      </c>
      <c r="Q74" s="99">
        <f>Q75+Q77+Q79+Q88+Q93+Q97</f>
        <v>11545107512</v>
      </c>
      <c r="R74" s="233">
        <v>0.9</v>
      </c>
      <c r="S74" s="99">
        <f>S75+S77+S79+S88+S93+S97</f>
        <v>11815619109</v>
      </c>
      <c r="T74" s="213">
        <v>1</v>
      </c>
      <c r="U74" s="99">
        <f>U75+U77+U79+U88+U93+U97</f>
        <v>12210443330</v>
      </c>
      <c r="V74" s="98"/>
      <c r="W74" s="98"/>
      <c r="X74" s="98"/>
      <c r="Y74" s="98"/>
      <c r="Z74" s="100">
        <v>1</v>
      </c>
      <c r="AA74" s="99">
        <f>AA75+AA77+AA79+AA88+AA93+AA97</f>
        <v>11031729441</v>
      </c>
      <c r="AB74" s="213">
        <v>1</v>
      </c>
      <c r="AC74" s="99">
        <f>AC75+AC77+AC79+AC88+AC93+AC97</f>
        <v>11534537524</v>
      </c>
      <c r="AD74" s="98">
        <v>100</v>
      </c>
      <c r="AE74" s="99">
        <f>AE75+AE77+AE79+AE88+AE93+AE97</f>
        <v>10514276922.200001</v>
      </c>
      <c r="AF74" s="98"/>
      <c r="AG74" s="98"/>
      <c r="AH74" s="98"/>
      <c r="AI74" s="98"/>
      <c r="AJ74" s="232">
        <f>Z74/P74*100%</f>
        <v>1.1111111111111112</v>
      </c>
      <c r="AK74" s="232">
        <f>AA74/Q74*100%</f>
        <v>0.95553284623236345</v>
      </c>
      <c r="AL74" s="233">
        <f t="shared" ref="AL74:AL103" si="9">AB74/R74</f>
        <v>1.1111111111111112</v>
      </c>
      <c r="AM74" s="232">
        <f>AC74/S74*100%</f>
        <v>0.97621101506345109</v>
      </c>
      <c r="AN74" s="98">
        <f>AD74/T74</f>
        <v>100</v>
      </c>
      <c r="AO74" s="98">
        <f>AE74/U74</f>
        <v>0.86108887597613548</v>
      </c>
      <c r="AP74" s="101" t="s">
        <v>6</v>
      </c>
      <c r="AR74" s="102"/>
      <c r="AS74" s="103"/>
      <c r="AT74" s="104">
        <f>'[13]SPJ FUNGSIONAL '!$Y$23</f>
        <v>11031729441</v>
      </c>
    </row>
    <row r="75" spans="1:76" ht="90.75" customHeight="1">
      <c r="A75" s="105"/>
      <c r="B75" s="106"/>
      <c r="C75" s="206"/>
      <c r="D75" s="107"/>
      <c r="E75" s="108"/>
      <c r="F75" s="110" t="s">
        <v>105</v>
      </c>
      <c r="G75" s="111" t="s">
        <v>106</v>
      </c>
      <c r="H75" s="112" t="s">
        <v>545</v>
      </c>
      <c r="I75" s="112"/>
      <c r="J75" s="115">
        <v>100</v>
      </c>
      <c r="K75" s="114">
        <f>K76</f>
        <v>28196604708</v>
      </c>
      <c r="L75" s="112"/>
      <c r="M75" s="112"/>
      <c r="N75" s="112"/>
      <c r="O75" s="112"/>
      <c r="P75" s="113">
        <v>100</v>
      </c>
      <c r="Q75" s="114">
        <f>Q76</f>
        <v>9409039963</v>
      </c>
      <c r="R75" s="550">
        <v>100</v>
      </c>
      <c r="S75" s="114">
        <f>S76</f>
        <v>9342538115</v>
      </c>
      <c r="T75" s="115">
        <v>100</v>
      </c>
      <c r="U75" s="114">
        <f>U76</f>
        <v>9445026630</v>
      </c>
      <c r="V75" s="112"/>
      <c r="W75" s="112"/>
      <c r="X75" s="112"/>
      <c r="Y75" s="112"/>
      <c r="Z75" s="113">
        <v>100</v>
      </c>
      <c r="AA75" s="114">
        <f>AA76</f>
        <v>9124560918</v>
      </c>
      <c r="AB75" s="543">
        <v>100</v>
      </c>
      <c r="AC75" s="114">
        <f>AC76</f>
        <v>9652638957</v>
      </c>
      <c r="AD75" s="112">
        <v>100</v>
      </c>
      <c r="AE75" s="114">
        <f>AE76</f>
        <v>8675150695</v>
      </c>
      <c r="AF75" s="112"/>
      <c r="AG75" s="112"/>
      <c r="AH75" s="112"/>
      <c r="AI75" s="112"/>
      <c r="AJ75" s="239">
        <v>1</v>
      </c>
      <c r="AK75" s="238">
        <f t="shared" ref="AK75:AK101" si="10">AA75/Q75*100%</f>
        <v>0.96976534841825712</v>
      </c>
      <c r="AL75" s="556">
        <f t="shared" si="9"/>
        <v>1</v>
      </c>
      <c r="AM75" s="241">
        <f t="shared" ref="AM75:AM138" si="11">AC75/S75*100%</f>
        <v>1.0331923550306008</v>
      </c>
      <c r="AN75" s="112">
        <f t="shared" ref="AN75:AN137" si="12">AD75/T75</f>
        <v>1</v>
      </c>
      <c r="AO75" s="112">
        <f>AE75/U75</f>
        <v>0.91848874914183276</v>
      </c>
      <c r="AP75" s="116"/>
      <c r="AR75" s="102"/>
    </row>
    <row r="76" spans="1:76" ht="81.75" customHeight="1">
      <c r="A76" s="105"/>
      <c r="B76" s="106"/>
      <c r="C76" s="206"/>
      <c r="D76" s="107"/>
      <c r="E76" s="108"/>
      <c r="F76" s="118" t="s">
        <v>107</v>
      </c>
      <c r="G76" s="119" t="s">
        <v>11</v>
      </c>
      <c r="H76" s="120" t="s">
        <v>546</v>
      </c>
      <c r="I76" s="120"/>
      <c r="J76" s="121" t="s">
        <v>281</v>
      </c>
      <c r="K76" s="120">
        <f>M76+O76+Q76+S76+U76</f>
        <v>28196604708</v>
      </c>
      <c r="L76" s="120"/>
      <c r="M76" s="120"/>
      <c r="N76" s="120"/>
      <c r="O76" s="120"/>
      <c r="P76" s="121" t="s">
        <v>241</v>
      </c>
      <c r="Q76" s="122">
        <f>'[13]SPJ FUNGSIONAL '!$O$27</f>
        <v>9409039963</v>
      </c>
      <c r="R76" s="121">
        <v>77</v>
      </c>
      <c r="S76" s="122">
        <v>9342538115</v>
      </c>
      <c r="T76" s="121">
        <v>78</v>
      </c>
      <c r="U76" s="123">
        <v>9445026630</v>
      </c>
      <c r="V76" s="120"/>
      <c r="W76" s="120"/>
      <c r="X76" s="120"/>
      <c r="Y76" s="120"/>
      <c r="Z76" s="121">
        <v>76</v>
      </c>
      <c r="AA76" s="123">
        <f>'[13]SPJ FUNGSIONAL '!$Y$27</f>
        <v>9124560918</v>
      </c>
      <c r="AB76" s="121">
        <v>77</v>
      </c>
      <c r="AC76" s="533">
        <f>'LRA 2022'!U21</f>
        <v>9652638957</v>
      </c>
      <c r="AD76" s="120">
        <v>73</v>
      </c>
      <c r="AE76" s="120">
        <f>'LRA 2023'!U21</f>
        <v>8675150695</v>
      </c>
      <c r="AF76" s="120"/>
      <c r="AG76" s="120"/>
      <c r="AH76" s="120"/>
      <c r="AI76" s="120"/>
      <c r="AJ76" s="236">
        <f>76/76*100%</f>
        <v>1</v>
      </c>
      <c r="AK76" s="234">
        <f t="shared" si="10"/>
        <v>0.96976534841825712</v>
      </c>
      <c r="AL76" s="551">
        <f t="shared" si="9"/>
        <v>1</v>
      </c>
      <c r="AM76" s="236">
        <f t="shared" si="11"/>
        <v>1.0331923550306008</v>
      </c>
      <c r="AN76" s="120">
        <f t="shared" si="12"/>
        <v>0.9358974358974359</v>
      </c>
      <c r="AO76" s="120">
        <f>AE76/U76</f>
        <v>0.91848874914183276</v>
      </c>
      <c r="AP76" s="71"/>
      <c r="AR76" s="102"/>
      <c r="AS76" s="124"/>
      <c r="AT76" s="125">
        <v>9588296124</v>
      </c>
      <c r="AU76" s="126">
        <f>9124560918+320463712+2000</f>
        <v>9445026630</v>
      </c>
    </row>
    <row r="77" spans="1:76" ht="111.75" customHeight="1">
      <c r="A77" s="105"/>
      <c r="B77" s="106"/>
      <c r="C77" s="206"/>
      <c r="D77" s="107"/>
      <c r="E77" s="108"/>
      <c r="F77" s="127" t="s">
        <v>108</v>
      </c>
      <c r="G77" s="128" t="s">
        <v>109</v>
      </c>
      <c r="H77" s="112" t="s">
        <v>545</v>
      </c>
      <c r="I77" s="112"/>
      <c r="J77" s="115">
        <v>100</v>
      </c>
      <c r="K77" s="114">
        <f>K78</f>
        <v>40000000</v>
      </c>
      <c r="L77" s="112"/>
      <c r="M77" s="112"/>
      <c r="N77" s="112"/>
      <c r="O77" s="112"/>
      <c r="P77" s="113">
        <v>0</v>
      </c>
      <c r="Q77" s="114">
        <f>Q78</f>
        <v>0</v>
      </c>
      <c r="R77" s="550">
        <v>100</v>
      </c>
      <c r="S77" s="114">
        <f>S78</f>
        <v>0</v>
      </c>
      <c r="T77" s="115">
        <v>100</v>
      </c>
      <c r="U77" s="114">
        <f>U78</f>
        <v>40000000</v>
      </c>
      <c r="V77" s="112"/>
      <c r="W77" s="112"/>
      <c r="X77" s="112"/>
      <c r="Y77" s="112"/>
      <c r="Z77" s="113">
        <v>0</v>
      </c>
      <c r="AA77" s="114">
        <f>AA78</f>
        <v>0</v>
      </c>
      <c r="AB77" s="112">
        <v>0</v>
      </c>
      <c r="AC77" s="114">
        <f>AC78</f>
        <v>0</v>
      </c>
      <c r="AD77" s="112"/>
      <c r="AE77" s="114">
        <f>AE78</f>
        <v>0</v>
      </c>
      <c r="AF77" s="112"/>
      <c r="AG77" s="112"/>
      <c r="AH77" s="112"/>
      <c r="AI77" s="112"/>
      <c r="AJ77" s="112"/>
      <c r="AK77" s="237">
        <v>0</v>
      </c>
      <c r="AL77" s="556">
        <f t="shared" si="9"/>
        <v>0</v>
      </c>
      <c r="AM77" s="241"/>
      <c r="AN77" s="112">
        <f t="shared" si="12"/>
        <v>0</v>
      </c>
      <c r="AO77" s="112">
        <f t="shared" ref="AO77:AO139" si="13">AE77/U77</f>
        <v>0</v>
      </c>
      <c r="AP77" s="116"/>
      <c r="AR77" s="102"/>
    </row>
    <row r="78" spans="1:76" ht="76.5" customHeight="1">
      <c r="A78" s="105"/>
      <c r="B78" s="106"/>
      <c r="C78" s="206"/>
      <c r="D78" s="107"/>
      <c r="E78" s="108"/>
      <c r="F78" s="129" t="s">
        <v>110</v>
      </c>
      <c r="G78" s="43" t="s">
        <v>111</v>
      </c>
      <c r="H78" s="120" t="s">
        <v>547</v>
      </c>
      <c r="I78" s="120"/>
      <c r="J78" s="117">
        <v>80</v>
      </c>
      <c r="K78" s="120">
        <f>M78+O78+Q78+S78+U78</f>
        <v>40000000</v>
      </c>
      <c r="L78" s="120"/>
      <c r="M78" s="120"/>
      <c r="N78" s="120"/>
      <c r="O78" s="120"/>
      <c r="P78" s="121">
        <v>0</v>
      </c>
      <c r="Q78" s="130">
        <v>0</v>
      </c>
      <c r="R78" s="117"/>
      <c r="S78" s="131">
        <v>0</v>
      </c>
      <c r="T78" s="117">
        <v>80</v>
      </c>
      <c r="U78" s="131">
        <v>40000000</v>
      </c>
      <c r="V78" s="120"/>
      <c r="W78" s="120"/>
      <c r="X78" s="120"/>
      <c r="Y78" s="120"/>
      <c r="Z78" s="121">
        <v>0</v>
      </c>
      <c r="AA78" s="130">
        <v>0</v>
      </c>
      <c r="AB78" s="120"/>
      <c r="AC78" s="120">
        <v>0</v>
      </c>
      <c r="AD78" s="120"/>
      <c r="AE78" s="120">
        <v>0</v>
      </c>
      <c r="AF78" s="120"/>
      <c r="AG78" s="120"/>
      <c r="AH78" s="120"/>
      <c r="AI78" s="120"/>
      <c r="AJ78" s="120"/>
      <c r="AK78" s="234">
        <v>0</v>
      </c>
      <c r="AL78" s="551"/>
      <c r="AM78" s="236"/>
      <c r="AN78" s="120">
        <f t="shared" si="12"/>
        <v>0</v>
      </c>
      <c r="AO78" s="120">
        <f t="shared" si="13"/>
        <v>0</v>
      </c>
      <c r="AP78" s="71"/>
      <c r="AR78" s="102" t="e">
        <f>#REF!</f>
        <v>#REF!</v>
      </c>
      <c r="AS78" s="102">
        <f>80*500000</f>
        <v>40000000</v>
      </c>
    </row>
    <row r="79" spans="1:76" ht="111.75" customHeight="1">
      <c r="A79" s="105"/>
      <c r="B79" s="106"/>
      <c r="C79" s="206"/>
      <c r="D79" s="107"/>
      <c r="E79" s="108"/>
      <c r="F79" s="127" t="s">
        <v>112</v>
      </c>
      <c r="G79" s="128" t="s">
        <v>14</v>
      </c>
      <c r="H79" s="112" t="s">
        <v>545</v>
      </c>
      <c r="I79" s="112"/>
      <c r="J79" s="109">
        <v>90</v>
      </c>
      <c r="K79" s="114">
        <f>K80+K81+K84+K85</f>
        <v>1415091700</v>
      </c>
      <c r="L79" s="112"/>
      <c r="M79" s="112"/>
      <c r="N79" s="112"/>
      <c r="O79" s="112"/>
      <c r="P79" s="113">
        <v>90</v>
      </c>
      <c r="Q79" s="114">
        <f>Q80+Q81+Q84+Q85</f>
        <v>518415900</v>
      </c>
      <c r="R79" s="109">
        <v>90</v>
      </c>
      <c r="S79" s="114">
        <f>S80+S81+S84+S85</f>
        <v>451596100</v>
      </c>
      <c r="T79" s="109">
        <v>90</v>
      </c>
      <c r="U79" s="114">
        <f>U80+U81+U84+U85</f>
        <v>445079700</v>
      </c>
      <c r="V79" s="112"/>
      <c r="W79" s="112"/>
      <c r="X79" s="112"/>
      <c r="Y79" s="112"/>
      <c r="Z79" s="113">
        <v>90</v>
      </c>
      <c r="AA79" s="114">
        <f>AA80+AA81+AA84+AA85</f>
        <v>465912817</v>
      </c>
      <c r="AB79" s="563">
        <v>100</v>
      </c>
      <c r="AC79" s="114">
        <f>AC80+AC81+AC84+AC85</f>
        <v>449403593</v>
      </c>
      <c r="AD79" s="112">
        <v>100</v>
      </c>
      <c r="AE79" s="114">
        <f>AE80+AE81+AE84+AE85</f>
        <v>333879723</v>
      </c>
      <c r="AF79" s="112"/>
      <c r="AG79" s="112"/>
      <c r="AH79" s="112"/>
      <c r="AI79" s="112"/>
      <c r="AJ79" s="239">
        <v>1</v>
      </c>
      <c r="AK79" s="238">
        <f t="shared" si="10"/>
        <v>0.89872401097265731</v>
      </c>
      <c r="AL79" s="556">
        <f t="shared" si="9"/>
        <v>1.1111111111111112</v>
      </c>
      <c r="AM79" s="241">
        <f t="shared" si="11"/>
        <v>0.9951449824300963</v>
      </c>
      <c r="AN79" s="112">
        <f t="shared" si="12"/>
        <v>1.1111111111111112</v>
      </c>
      <c r="AO79" s="112">
        <f t="shared" si="13"/>
        <v>0.75015715836961339</v>
      </c>
      <c r="AP79" s="116"/>
      <c r="AR79" s="102"/>
    </row>
    <row r="80" spans="1:76" ht="111.75" customHeight="1">
      <c r="A80" s="105"/>
      <c r="B80" s="106"/>
      <c r="C80" s="206"/>
      <c r="D80" s="107"/>
      <c r="E80" s="108"/>
      <c r="F80" s="129" t="s">
        <v>113</v>
      </c>
      <c r="G80" s="43" t="s">
        <v>114</v>
      </c>
      <c r="H80" s="120" t="s">
        <v>548</v>
      </c>
      <c r="I80" s="120"/>
      <c r="J80" s="132">
        <v>10</v>
      </c>
      <c r="K80" s="120">
        <f t="shared" ref="K80:K87" si="14">M80+O80+Q80+S80+U80</f>
        <v>104345950</v>
      </c>
      <c r="L80" s="120"/>
      <c r="M80" s="120"/>
      <c r="N80" s="120"/>
      <c r="O80" s="120"/>
      <c r="P80" s="132" t="s">
        <v>242</v>
      </c>
      <c r="Q80" s="133">
        <f>'[13]SPJ FUNGSIONAL '!$O$46</f>
        <v>35306700</v>
      </c>
      <c r="R80" s="132">
        <v>10</v>
      </c>
      <c r="S80" s="133">
        <v>34039250</v>
      </c>
      <c r="T80" s="132">
        <v>10</v>
      </c>
      <c r="U80" s="133">
        <v>35000000</v>
      </c>
      <c r="V80" s="120"/>
      <c r="W80" s="120"/>
      <c r="X80" s="120"/>
      <c r="Y80" s="120"/>
      <c r="Z80" s="132">
        <v>10</v>
      </c>
      <c r="AA80" s="133">
        <f>'[13]SPJ FUNGSIONAL '!$Y$46</f>
        <v>33625900</v>
      </c>
      <c r="AB80" s="533">
        <v>10</v>
      </c>
      <c r="AC80" s="533">
        <f>'LRA 2022'!U40</f>
        <v>31659500</v>
      </c>
      <c r="AD80" s="132">
        <v>10</v>
      </c>
      <c r="AE80" s="533">
        <f>'LRA 2023'!U40</f>
        <v>15089400</v>
      </c>
      <c r="AF80" s="120"/>
      <c r="AG80" s="120"/>
      <c r="AH80" s="120"/>
      <c r="AI80" s="120"/>
      <c r="AJ80" s="235">
        <v>1</v>
      </c>
      <c r="AK80" s="234">
        <f t="shared" si="10"/>
        <v>0.95239430476368503</v>
      </c>
      <c r="AL80" s="551">
        <f t="shared" si="9"/>
        <v>1</v>
      </c>
      <c r="AM80" s="236">
        <f t="shared" si="11"/>
        <v>0.93008806010708223</v>
      </c>
      <c r="AN80" s="120">
        <f t="shared" si="12"/>
        <v>1</v>
      </c>
      <c r="AO80" s="120">
        <f t="shared" si="13"/>
        <v>0.43112571428571428</v>
      </c>
      <c r="AP80" s="71"/>
      <c r="AR80" s="102" t="e">
        <f>#REF!</f>
        <v>#REF!</v>
      </c>
      <c r="AS80" s="102">
        <f>5000000*9</f>
        <v>45000000</v>
      </c>
    </row>
    <row r="81" spans="1:50" ht="111.75" customHeight="1">
      <c r="A81" s="105"/>
      <c r="B81" s="106"/>
      <c r="C81" s="206"/>
      <c r="D81" s="107"/>
      <c r="E81" s="108"/>
      <c r="F81" s="134" t="s">
        <v>115</v>
      </c>
      <c r="G81" s="43"/>
      <c r="H81" s="120"/>
      <c r="I81" s="120"/>
      <c r="J81" s="117"/>
      <c r="K81" s="120">
        <f t="shared" si="14"/>
        <v>530228000</v>
      </c>
      <c r="L81" s="120"/>
      <c r="M81" s="120"/>
      <c r="N81" s="120"/>
      <c r="O81" s="120"/>
      <c r="P81" s="117"/>
      <c r="Q81" s="135">
        <f>Q82+Q83</f>
        <v>180160750</v>
      </c>
      <c r="R81" s="117"/>
      <c r="S81" s="135">
        <v>184987550</v>
      </c>
      <c r="T81" s="117"/>
      <c r="U81" s="135">
        <f>U82+U83</f>
        <v>165079700</v>
      </c>
      <c r="V81" s="120"/>
      <c r="W81" s="120"/>
      <c r="X81" s="120"/>
      <c r="Y81" s="120"/>
      <c r="Z81" s="117"/>
      <c r="AA81" s="135">
        <f>AA82+AA83</f>
        <v>159679700</v>
      </c>
      <c r="AB81" s="120"/>
      <c r="AC81" s="533">
        <f>'LRA 2022'!U46</f>
        <v>166404150</v>
      </c>
      <c r="AD81" s="117"/>
      <c r="AE81" s="533">
        <f>'LRA 2023'!U46</f>
        <v>116275435</v>
      </c>
      <c r="AF81" s="120"/>
      <c r="AG81" s="120"/>
      <c r="AH81" s="120"/>
      <c r="AI81" s="120"/>
      <c r="AJ81" s="235">
        <v>1</v>
      </c>
      <c r="AK81" s="234">
        <f t="shared" si="10"/>
        <v>0.88631791330797638</v>
      </c>
      <c r="AL81" s="551"/>
      <c r="AM81" s="236">
        <f t="shared" si="11"/>
        <v>0.89954242866614542</v>
      </c>
      <c r="AN81" s="120"/>
      <c r="AO81" s="120">
        <f t="shared" si="13"/>
        <v>0.70435937913625968</v>
      </c>
      <c r="AP81" s="71"/>
      <c r="AR81" s="102" t="e">
        <f>#REF!</f>
        <v>#REF!</v>
      </c>
    </row>
    <row r="82" spans="1:50" ht="111.75" customHeight="1">
      <c r="A82" s="105"/>
      <c r="B82" s="106"/>
      <c r="C82" s="206"/>
      <c r="D82" s="107"/>
      <c r="E82" s="108"/>
      <c r="F82" s="134"/>
      <c r="G82" s="43" t="s">
        <v>116</v>
      </c>
      <c r="H82" s="120" t="s">
        <v>549</v>
      </c>
      <c r="I82" s="120"/>
      <c r="J82" s="117">
        <v>40</v>
      </c>
      <c r="K82" s="120">
        <f t="shared" si="14"/>
        <v>339840450</v>
      </c>
      <c r="L82" s="120"/>
      <c r="M82" s="120"/>
      <c r="N82" s="120"/>
      <c r="O82" s="120"/>
      <c r="P82" s="117" t="s">
        <v>243</v>
      </c>
      <c r="Q82" s="137">
        <f>'[13]SPJ FUNGSIONAL '!$O$52</f>
        <v>180160750</v>
      </c>
      <c r="R82" s="117">
        <v>40</v>
      </c>
      <c r="S82" s="137"/>
      <c r="T82" s="117">
        <v>40</v>
      </c>
      <c r="U82" s="137">
        <v>159679700</v>
      </c>
      <c r="V82" s="120"/>
      <c r="W82" s="120"/>
      <c r="X82" s="120"/>
      <c r="Y82" s="120"/>
      <c r="Z82" s="117">
        <v>40</v>
      </c>
      <c r="AA82" s="137">
        <f>'[13]SPJ FUNGSIONAL '!$Y$52</f>
        <v>159679700</v>
      </c>
      <c r="AB82" s="533">
        <v>40</v>
      </c>
      <c r="AC82" s="120"/>
      <c r="AD82" s="117">
        <v>40</v>
      </c>
      <c r="AE82" s="120"/>
      <c r="AF82" s="120"/>
      <c r="AG82" s="120"/>
      <c r="AH82" s="120"/>
      <c r="AI82" s="120"/>
      <c r="AJ82" s="120"/>
      <c r="AK82" s="234">
        <f t="shared" si="10"/>
        <v>0.88631791330797638</v>
      </c>
      <c r="AL82" s="551">
        <f t="shared" si="9"/>
        <v>1</v>
      </c>
      <c r="AM82" s="236"/>
      <c r="AN82" s="120">
        <f t="shared" si="12"/>
        <v>1</v>
      </c>
      <c r="AO82" s="120">
        <f t="shared" si="13"/>
        <v>0</v>
      </c>
      <c r="AP82" s="71"/>
      <c r="AR82" s="102"/>
    </row>
    <row r="83" spans="1:50" ht="111.75" customHeight="1">
      <c r="A83" s="105"/>
      <c r="B83" s="106"/>
      <c r="C83" s="206"/>
      <c r="D83" s="107"/>
      <c r="E83" s="108"/>
      <c r="F83" s="138"/>
      <c r="G83" s="43" t="s">
        <v>117</v>
      </c>
      <c r="H83" s="120" t="s">
        <v>550</v>
      </c>
      <c r="I83" s="120"/>
      <c r="J83" s="117">
        <v>12</v>
      </c>
      <c r="K83" s="120">
        <f t="shared" si="14"/>
        <v>5400000</v>
      </c>
      <c r="L83" s="120"/>
      <c r="M83" s="120"/>
      <c r="N83" s="120"/>
      <c r="O83" s="120"/>
      <c r="P83" s="117">
        <v>0</v>
      </c>
      <c r="Q83" s="137">
        <v>0</v>
      </c>
      <c r="R83" s="117">
        <v>12</v>
      </c>
      <c r="S83" s="139"/>
      <c r="T83" s="117">
        <v>12</v>
      </c>
      <c r="U83" s="139">
        <v>5400000</v>
      </c>
      <c r="V83" s="120"/>
      <c r="W83" s="120"/>
      <c r="X83" s="120"/>
      <c r="Y83" s="120"/>
      <c r="Z83" s="117">
        <v>0</v>
      </c>
      <c r="AA83" s="137">
        <v>0</v>
      </c>
      <c r="AB83" s="533">
        <v>12</v>
      </c>
      <c r="AC83" s="120"/>
      <c r="AD83" s="117">
        <v>12</v>
      </c>
      <c r="AE83" s="120"/>
      <c r="AF83" s="120"/>
      <c r="AG83" s="120"/>
      <c r="AH83" s="120"/>
      <c r="AI83" s="120"/>
      <c r="AJ83" s="120"/>
      <c r="AK83" s="234">
        <v>0</v>
      </c>
      <c r="AL83" s="551">
        <f t="shared" si="9"/>
        <v>1</v>
      </c>
      <c r="AM83" s="236"/>
      <c r="AN83" s="120">
        <f t="shared" si="12"/>
        <v>1</v>
      </c>
      <c r="AO83" s="120">
        <f t="shared" si="13"/>
        <v>0</v>
      </c>
      <c r="AP83" s="71"/>
      <c r="AR83" s="102"/>
      <c r="AS83" s="1">
        <f>50000*12*9</f>
        <v>5400000</v>
      </c>
    </row>
    <row r="84" spans="1:50" ht="111.75" customHeight="1">
      <c r="A84" s="105"/>
      <c r="B84" s="106"/>
      <c r="C84" s="206"/>
      <c r="D84" s="107"/>
      <c r="E84" s="108"/>
      <c r="F84" s="134" t="s">
        <v>118</v>
      </c>
      <c r="G84" s="43" t="s">
        <v>119</v>
      </c>
      <c r="H84" s="120" t="s">
        <v>548</v>
      </c>
      <c r="I84" s="120"/>
      <c r="J84" s="132">
        <v>9</v>
      </c>
      <c r="K84" s="120">
        <f t="shared" si="14"/>
        <v>149380100</v>
      </c>
      <c r="L84" s="120"/>
      <c r="M84" s="120"/>
      <c r="N84" s="120"/>
      <c r="O84" s="120"/>
      <c r="P84" s="132" t="s">
        <v>244</v>
      </c>
      <c r="Q84" s="133">
        <f>'[13]SPJ FUNGSIONAL '!$O$67</f>
        <v>57513800</v>
      </c>
      <c r="R84" s="132">
        <v>9</v>
      </c>
      <c r="S84" s="133">
        <v>51866300</v>
      </c>
      <c r="T84" s="132">
        <v>9</v>
      </c>
      <c r="U84" s="133">
        <v>40000000</v>
      </c>
      <c r="V84" s="120"/>
      <c r="W84" s="120"/>
      <c r="X84" s="120"/>
      <c r="Y84" s="120"/>
      <c r="Z84" s="132">
        <v>6</v>
      </c>
      <c r="AA84" s="133">
        <f>'[13]SPJ FUNGSIONAL '!$Y$67</f>
        <v>46021750</v>
      </c>
      <c r="AB84" s="132">
        <v>6</v>
      </c>
      <c r="AC84" s="533">
        <f>'LRA 2022'!U60</f>
        <v>38221700</v>
      </c>
      <c r="AD84" s="132">
        <v>9</v>
      </c>
      <c r="AE84" s="533">
        <f>'LRA 2023'!U61</f>
        <v>24317000</v>
      </c>
      <c r="AF84" s="120"/>
      <c r="AG84" s="120"/>
      <c r="AH84" s="120"/>
      <c r="AI84" s="120"/>
      <c r="AJ84" s="120"/>
      <c r="AK84" s="234">
        <f t="shared" si="10"/>
        <v>0.8001862161776826</v>
      </c>
      <c r="AL84" s="551">
        <f t="shared" si="9"/>
        <v>0.66666666666666663</v>
      </c>
      <c r="AM84" s="236">
        <f t="shared" si="11"/>
        <v>0.73692744614518479</v>
      </c>
      <c r="AN84" s="120">
        <f t="shared" si="12"/>
        <v>1</v>
      </c>
      <c r="AO84" s="120">
        <f t="shared" si="13"/>
        <v>0.60792500000000005</v>
      </c>
      <c r="AP84" s="71"/>
      <c r="AR84" s="102" t="e">
        <f>#REF!</f>
        <v>#REF!</v>
      </c>
    </row>
    <row r="85" spans="1:50" ht="111.75" customHeight="1">
      <c r="A85" s="105"/>
      <c r="B85" s="106"/>
      <c r="C85" s="206"/>
      <c r="D85" s="107"/>
      <c r="E85" s="108"/>
      <c r="F85" s="134" t="s">
        <v>120</v>
      </c>
      <c r="G85" s="43"/>
      <c r="H85" s="120"/>
      <c r="I85" s="120"/>
      <c r="J85" s="117"/>
      <c r="K85" s="120">
        <f t="shared" si="14"/>
        <v>631137650</v>
      </c>
      <c r="L85" s="120"/>
      <c r="M85" s="120"/>
      <c r="N85" s="120"/>
      <c r="O85" s="120"/>
      <c r="P85" s="117"/>
      <c r="Q85" s="135">
        <f>Q86+Q87</f>
        <v>245434650</v>
      </c>
      <c r="R85" s="117"/>
      <c r="S85" s="135">
        <v>180703000</v>
      </c>
      <c r="T85" s="117"/>
      <c r="U85" s="135">
        <f>U86+U87</f>
        <v>205000000</v>
      </c>
      <c r="V85" s="120"/>
      <c r="W85" s="120"/>
      <c r="X85" s="120"/>
      <c r="Y85" s="120"/>
      <c r="Z85" s="117"/>
      <c r="AA85" s="135">
        <f>AA86+AA87</f>
        <v>226585467</v>
      </c>
      <c r="AB85" s="120"/>
      <c r="AC85" s="533">
        <f>'LRA 2022'!U66</f>
        <v>213118243</v>
      </c>
      <c r="AD85" s="117"/>
      <c r="AE85" s="533">
        <f>'LRA 2023'!U67</f>
        <v>178197888</v>
      </c>
      <c r="AF85" s="120"/>
      <c r="AG85" s="120"/>
      <c r="AH85" s="120"/>
      <c r="AI85" s="120"/>
      <c r="AJ85" s="120"/>
      <c r="AK85" s="234">
        <f t="shared" si="10"/>
        <v>0.9232008072209853</v>
      </c>
      <c r="AL85" s="551"/>
      <c r="AM85" s="236">
        <f t="shared" si="11"/>
        <v>1.1793840888087082</v>
      </c>
      <c r="AN85" s="120"/>
      <c r="AO85" s="120">
        <f t="shared" si="13"/>
        <v>0.86925799024390249</v>
      </c>
      <c r="AP85" s="71"/>
      <c r="AR85" s="102" t="e">
        <f>#REF!</f>
        <v>#REF!</v>
      </c>
    </row>
    <row r="86" spans="1:50" ht="111.75" customHeight="1">
      <c r="A86" s="105"/>
      <c r="B86" s="106"/>
      <c r="C86" s="206"/>
      <c r="D86" s="107"/>
      <c r="E86" s="108"/>
      <c r="F86" s="134"/>
      <c r="G86" s="43" t="s">
        <v>121</v>
      </c>
      <c r="H86" s="120" t="s">
        <v>551</v>
      </c>
      <c r="I86" s="120"/>
      <c r="J86" s="117">
        <v>20</v>
      </c>
      <c r="K86" s="120">
        <f t="shared" si="14"/>
        <v>321534650</v>
      </c>
      <c r="L86" s="120"/>
      <c r="M86" s="120"/>
      <c r="N86" s="120"/>
      <c r="O86" s="120"/>
      <c r="P86" s="117" t="s">
        <v>245</v>
      </c>
      <c r="Q86" s="139">
        <f>'[13]SPJ FUNGSIONAL '!$O$79</f>
        <v>166534650</v>
      </c>
      <c r="R86" s="117">
        <v>20</v>
      </c>
      <c r="S86" s="139"/>
      <c r="T86" s="117">
        <v>20</v>
      </c>
      <c r="U86" s="139">
        <v>155000000</v>
      </c>
      <c r="V86" s="120"/>
      <c r="W86" s="120"/>
      <c r="X86" s="120"/>
      <c r="Y86" s="120"/>
      <c r="Z86" s="117">
        <v>20</v>
      </c>
      <c r="AA86" s="139">
        <f>'[13]SPJ FUNGSIONAL '!$Y$79</f>
        <v>153054467</v>
      </c>
      <c r="AB86" s="117">
        <v>22</v>
      </c>
      <c r="AC86" s="120"/>
      <c r="AD86" s="117">
        <v>20</v>
      </c>
      <c r="AE86" s="120"/>
      <c r="AF86" s="120"/>
      <c r="AG86" s="120"/>
      <c r="AH86" s="120"/>
      <c r="AI86" s="120"/>
      <c r="AJ86" s="120"/>
      <c r="AK86" s="234">
        <f t="shared" si="10"/>
        <v>0.9190547852954325</v>
      </c>
      <c r="AL86" s="551">
        <f t="shared" si="9"/>
        <v>1.1000000000000001</v>
      </c>
      <c r="AM86" s="236"/>
      <c r="AN86" s="120">
        <f t="shared" si="12"/>
        <v>1</v>
      </c>
      <c r="AO86" s="120">
        <f t="shared" si="13"/>
        <v>0</v>
      </c>
      <c r="AP86" s="71"/>
      <c r="AR86" s="102"/>
      <c r="AS86" s="102"/>
    </row>
    <row r="87" spans="1:50" ht="111.75" customHeight="1">
      <c r="A87" s="105"/>
      <c r="B87" s="106"/>
      <c r="C87" s="206"/>
      <c r="D87" s="107"/>
      <c r="E87" s="108"/>
      <c r="F87" s="134"/>
      <c r="G87" s="43" t="s">
        <v>122</v>
      </c>
      <c r="H87" s="120" t="s">
        <v>552</v>
      </c>
      <c r="I87" s="120"/>
      <c r="J87" s="137" t="s">
        <v>282</v>
      </c>
      <c r="K87" s="120">
        <f t="shared" si="14"/>
        <v>128900000</v>
      </c>
      <c r="L87" s="120"/>
      <c r="M87" s="120"/>
      <c r="N87" s="120"/>
      <c r="O87" s="120"/>
      <c r="P87" s="137">
        <v>1258</v>
      </c>
      <c r="Q87" s="139">
        <f>'[13]SPJ FUNGSIONAL '!$O$77</f>
        <v>78900000</v>
      </c>
      <c r="R87" s="137">
        <v>1258</v>
      </c>
      <c r="S87" s="139"/>
      <c r="T87" s="137">
        <v>1250</v>
      </c>
      <c r="U87" s="139">
        <v>50000000</v>
      </c>
      <c r="V87" s="120"/>
      <c r="W87" s="120"/>
      <c r="X87" s="120"/>
      <c r="Y87" s="120"/>
      <c r="Z87" s="137">
        <v>1973</v>
      </c>
      <c r="AA87" s="139">
        <f>'[13]SPJ FUNGSIONAL '!$Y$77</f>
        <v>73531000</v>
      </c>
      <c r="AB87" s="533">
        <v>1695</v>
      </c>
      <c r="AC87" s="120"/>
      <c r="AD87" s="137">
        <v>1250</v>
      </c>
      <c r="AE87" s="120"/>
      <c r="AF87" s="120"/>
      <c r="AG87" s="120"/>
      <c r="AH87" s="120"/>
      <c r="AI87" s="120"/>
      <c r="AJ87" s="120"/>
      <c r="AK87" s="234">
        <f t="shared" si="10"/>
        <v>0.93195183776932822</v>
      </c>
      <c r="AL87" s="551">
        <f t="shared" si="9"/>
        <v>1.347376788553259</v>
      </c>
      <c r="AM87" s="236"/>
      <c r="AN87" s="120">
        <f t="shared" si="12"/>
        <v>1</v>
      </c>
      <c r="AO87" s="120">
        <f t="shared" si="13"/>
        <v>0</v>
      </c>
      <c r="AP87" s="71"/>
      <c r="AR87" s="102"/>
      <c r="AS87" s="102">
        <f>5000000*8</f>
        <v>40000000</v>
      </c>
      <c r="AT87" s="141">
        <f>AS87/40000</f>
        <v>1000</v>
      </c>
      <c r="AU87" s="102">
        <f>250*40000</f>
        <v>10000000</v>
      </c>
      <c r="AV87" s="141">
        <f>AS87+AU87</f>
        <v>50000000</v>
      </c>
      <c r="AW87" s="141"/>
    </row>
    <row r="88" spans="1:50" ht="111.75" customHeight="1">
      <c r="A88" s="142"/>
      <c r="B88" s="143"/>
      <c r="C88" s="207"/>
      <c r="D88" s="144"/>
      <c r="E88" s="145"/>
      <c r="F88" s="146" t="s">
        <v>123</v>
      </c>
      <c r="G88" s="128" t="s">
        <v>124</v>
      </c>
      <c r="H88" s="112" t="s">
        <v>545</v>
      </c>
      <c r="I88" s="112"/>
      <c r="J88" s="109">
        <v>90</v>
      </c>
      <c r="K88" s="147">
        <f>K89+K90+K91+K92</f>
        <v>259442800</v>
      </c>
      <c r="L88" s="112"/>
      <c r="M88" s="112"/>
      <c r="N88" s="112"/>
      <c r="O88" s="112"/>
      <c r="P88" s="115">
        <v>90</v>
      </c>
      <c r="Q88" s="147">
        <f>Q89+Q90+Q91+Q92</f>
        <v>0</v>
      </c>
      <c r="R88" s="115">
        <v>90</v>
      </c>
      <c r="S88" s="147">
        <f>S89+S90+S91+S92</f>
        <v>209442800</v>
      </c>
      <c r="T88" s="109">
        <v>90</v>
      </c>
      <c r="U88" s="147">
        <f>U89+U90+U91+U92</f>
        <v>50000000</v>
      </c>
      <c r="V88" s="112"/>
      <c r="W88" s="112"/>
      <c r="X88" s="112"/>
      <c r="Y88" s="112"/>
      <c r="Z88" s="115">
        <v>100</v>
      </c>
      <c r="AA88" s="147">
        <f>AA89+AA90+AA91+AA92</f>
        <v>0</v>
      </c>
      <c r="AB88" s="543">
        <v>100</v>
      </c>
      <c r="AC88" s="147">
        <f>AC89+AC90+AC91+AC92</f>
        <v>68000000</v>
      </c>
      <c r="AD88" s="112">
        <v>100</v>
      </c>
      <c r="AE88" s="147">
        <f>AE89+AE90+AE91+AE92</f>
        <v>43230000</v>
      </c>
      <c r="AF88" s="112"/>
      <c r="AG88" s="112"/>
      <c r="AH88" s="112"/>
      <c r="AI88" s="112"/>
      <c r="AJ88" s="112"/>
      <c r="AK88" s="238">
        <v>0</v>
      </c>
      <c r="AL88" s="556">
        <f t="shared" si="9"/>
        <v>1.1111111111111112</v>
      </c>
      <c r="AM88" s="241">
        <f t="shared" si="11"/>
        <v>0.32467098415414614</v>
      </c>
      <c r="AN88" s="112">
        <f t="shared" si="12"/>
        <v>1.1111111111111112</v>
      </c>
      <c r="AO88" s="112">
        <f t="shared" si="13"/>
        <v>0.86460000000000004</v>
      </c>
      <c r="AP88" s="116"/>
      <c r="AR88" s="102" t="e">
        <f>#REF!</f>
        <v>#REF!</v>
      </c>
      <c r="AS88" s="1">
        <f>73531000/1973</f>
        <v>37268.62645717182</v>
      </c>
    </row>
    <row r="89" spans="1:50" ht="111.75" customHeight="1">
      <c r="A89" s="105"/>
      <c r="B89" s="106"/>
      <c r="C89" s="206"/>
      <c r="D89" s="107"/>
      <c r="E89" s="108"/>
      <c r="F89" s="134" t="s">
        <v>125</v>
      </c>
      <c r="G89" s="43" t="s">
        <v>126</v>
      </c>
      <c r="H89" s="120" t="s">
        <v>553</v>
      </c>
      <c r="I89" s="120"/>
      <c r="J89" s="117">
        <v>1</v>
      </c>
      <c r="K89" s="120">
        <f t="shared" ref="K89:K92" si="15">M89+O89+Q89+S89+U89</f>
        <v>0</v>
      </c>
      <c r="L89" s="120"/>
      <c r="M89" s="120"/>
      <c r="N89" s="120"/>
      <c r="O89" s="120"/>
      <c r="P89" s="132">
        <v>0</v>
      </c>
      <c r="Q89" s="148">
        <v>0</v>
      </c>
      <c r="R89" s="117"/>
      <c r="S89" s="139"/>
      <c r="T89" s="117">
        <v>1</v>
      </c>
      <c r="U89" s="139">
        <v>0</v>
      </c>
      <c r="V89" s="120"/>
      <c r="W89" s="120"/>
      <c r="X89" s="120"/>
      <c r="Y89" s="120"/>
      <c r="Z89" s="132">
        <v>0</v>
      </c>
      <c r="AA89" s="148">
        <v>0</v>
      </c>
      <c r="AB89" s="120"/>
      <c r="AC89" s="120"/>
      <c r="AD89" s="120"/>
      <c r="AE89" s="120"/>
      <c r="AF89" s="120"/>
      <c r="AG89" s="120"/>
      <c r="AH89" s="120"/>
      <c r="AI89" s="120"/>
      <c r="AJ89" s="120"/>
      <c r="AK89" s="234">
        <v>0</v>
      </c>
      <c r="AL89" s="551"/>
      <c r="AM89" s="236"/>
      <c r="AN89" s="120">
        <f t="shared" si="12"/>
        <v>0</v>
      </c>
      <c r="AO89" s="120"/>
      <c r="AP89" s="71"/>
      <c r="AR89" s="102"/>
    </row>
    <row r="90" spans="1:50" ht="111.75" customHeight="1">
      <c r="A90" s="105"/>
      <c r="B90" s="106"/>
      <c r="C90" s="206"/>
      <c r="D90" s="107"/>
      <c r="E90" s="108"/>
      <c r="F90" s="134" t="s">
        <v>127</v>
      </c>
      <c r="G90" s="43" t="s">
        <v>126</v>
      </c>
      <c r="H90" s="120" t="s">
        <v>553</v>
      </c>
      <c r="I90" s="120"/>
      <c r="J90" s="117">
        <v>0</v>
      </c>
      <c r="K90" s="120">
        <f t="shared" si="15"/>
        <v>0</v>
      </c>
      <c r="L90" s="120"/>
      <c r="M90" s="120"/>
      <c r="N90" s="120"/>
      <c r="O90" s="120"/>
      <c r="P90" s="132">
        <v>0</v>
      </c>
      <c r="Q90" s="148">
        <v>0</v>
      </c>
      <c r="R90" s="117">
        <v>0</v>
      </c>
      <c r="S90" s="139">
        <v>0</v>
      </c>
      <c r="T90" s="117">
        <v>0</v>
      </c>
      <c r="U90" s="139">
        <v>0</v>
      </c>
      <c r="V90" s="120"/>
      <c r="W90" s="120"/>
      <c r="X90" s="120"/>
      <c r="Y90" s="120"/>
      <c r="Z90" s="132">
        <v>0</v>
      </c>
      <c r="AA90" s="148">
        <v>0</v>
      </c>
      <c r="AB90" s="120"/>
      <c r="AC90" s="120"/>
      <c r="AD90" s="120"/>
      <c r="AE90" s="120">
        <v>0</v>
      </c>
      <c r="AF90" s="120"/>
      <c r="AG90" s="120"/>
      <c r="AH90" s="120"/>
      <c r="AI90" s="120"/>
      <c r="AJ90" s="120"/>
      <c r="AK90" s="234">
        <v>0</v>
      </c>
      <c r="AL90" s="551"/>
      <c r="AM90" s="236"/>
      <c r="AN90" s="120"/>
      <c r="AO90" s="120"/>
      <c r="AP90" s="71"/>
      <c r="AR90" s="102"/>
    </row>
    <row r="91" spans="1:50" ht="111.75" customHeight="1">
      <c r="A91" s="105"/>
      <c r="B91" s="106"/>
      <c r="C91" s="206"/>
      <c r="D91" s="107"/>
      <c r="E91" s="108"/>
      <c r="F91" s="134" t="s">
        <v>128</v>
      </c>
      <c r="G91" s="43" t="s">
        <v>129</v>
      </c>
      <c r="H91" s="120" t="s">
        <v>553</v>
      </c>
      <c r="I91" s="120"/>
      <c r="J91" s="140" t="s">
        <v>269</v>
      </c>
      <c r="K91" s="120">
        <f t="shared" si="15"/>
        <v>259442800</v>
      </c>
      <c r="L91" s="120"/>
      <c r="M91" s="120"/>
      <c r="N91" s="120"/>
      <c r="O91" s="120"/>
      <c r="P91" s="140" t="s">
        <v>246</v>
      </c>
      <c r="Q91" s="137">
        <v>0</v>
      </c>
      <c r="R91" s="140">
        <v>8</v>
      </c>
      <c r="S91" s="137">
        <v>209442800</v>
      </c>
      <c r="T91" s="140">
        <v>1</v>
      </c>
      <c r="U91" s="137">
        <v>50000000</v>
      </c>
      <c r="V91" s="120"/>
      <c r="W91" s="120"/>
      <c r="X91" s="120"/>
      <c r="Y91" s="120"/>
      <c r="Z91" s="140">
        <v>0</v>
      </c>
      <c r="AA91" s="137">
        <v>0</v>
      </c>
      <c r="AB91" s="533">
        <v>8</v>
      </c>
      <c r="AC91" s="533">
        <f>'LRA 2022'!U77</f>
        <v>68000000</v>
      </c>
      <c r="AD91" s="120">
        <v>9</v>
      </c>
      <c r="AE91" s="533">
        <f>'LRA 2023'!U78</f>
        <v>43230000</v>
      </c>
      <c r="AF91" s="120"/>
      <c r="AG91" s="120"/>
      <c r="AH91" s="120"/>
      <c r="AI91" s="120"/>
      <c r="AJ91" s="120"/>
      <c r="AK91" s="234">
        <v>0</v>
      </c>
      <c r="AL91" s="551">
        <f t="shared" si="9"/>
        <v>1</v>
      </c>
      <c r="AM91" s="236">
        <f t="shared" si="11"/>
        <v>0.32467098415414614</v>
      </c>
      <c r="AN91" s="120">
        <f t="shared" si="12"/>
        <v>9</v>
      </c>
      <c r="AO91" s="120">
        <f t="shared" si="13"/>
        <v>0.86460000000000004</v>
      </c>
      <c r="AP91" s="71"/>
      <c r="AR91" s="102"/>
      <c r="AS91" s="102"/>
    </row>
    <row r="92" spans="1:50" ht="111.75" customHeight="1">
      <c r="A92" s="105"/>
      <c r="B92" s="106"/>
      <c r="C92" s="206"/>
      <c r="D92" s="107"/>
      <c r="E92" s="108"/>
      <c r="F92" s="134" t="s">
        <v>130</v>
      </c>
      <c r="G92" s="43" t="s">
        <v>131</v>
      </c>
      <c r="H92" s="120" t="s">
        <v>553</v>
      </c>
      <c r="I92" s="120"/>
      <c r="J92" s="140" t="s">
        <v>254</v>
      </c>
      <c r="K92" s="120">
        <f t="shared" si="15"/>
        <v>0</v>
      </c>
      <c r="L92" s="120"/>
      <c r="M92" s="120"/>
      <c r="N92" s="120"/>
      <c r="O92" s="120"/>
      <c r="P92" s="140">
        <v>0</v>
      </c>
      <c r="Q92" s="137">
        <v>0</v>
      </c>
      <c r="R92" s="140">
        <v>0</v>
      </c>
      <c r="S92" s="137">
        <v>0</v>
      </c>
      <c r="T92" s="140">
        <v>1</v>
      </c>
      <c r="U92" s="137">
        <v>0</v>
      </c>
      <c r="V92" s="120"/>
      <c r="W92" s="120"/>
      <c r="X92" s="120"/>
      <c r="Y92" s="120"/>
      <c r="Z92" s="140">
        <v>0</v>
      </c>
      <c r="AA92" s="137">
        <v>0</v>
      </c>
      <c r="AB92" s="120"/>
      <c r="AC92" s="120"/>
      <c r="AD92" s="120"/>
      <c r="AE92" s="120">
        <v>0</v>
      </c>
      <c r="AF92" s="120"/>
      <c r="AG92" s="120"/>
      <c r="AH92" s="120"/>
      <c r="AI92" s="120"/>
      <c r="AJ92" s="120"/>
      <c r="AK92" s="234">
        <v>0</v>
      </c>
      <c r="AL92" s="551"/>
      <c r="AM92" s="236"/>
      <c r="AN92" s="120">
        <f t="shared" si="12"/>
        <v>0</v>
      </c>
      <c r="AO92" s="120"/>
      <c r="AP92" s="71"/>
      <c r="AR92" s="102"/>
    </row>
    <row r="93" spans="1:50" ht="111.75" customHeight="1">
      <c r="A93" s="142"/>
      <c r="B93" s="143"/>
      <c r="C93" s="207"/>
      <c r="D93" s="144"/>
      <c r="E93" s="145"/>
      <c r="F93" s="127" t="s">
        <v>132</v>
      </c>
      <c r="G93" s="128" t="s">
        <v>133</v>
      </c>
      <c r="H93" s="112" t="s">
        <v>545</v>
      </c>
      <c r="I93" s="112"/>
      <c r="J93" s="109">
        <v>100</v>
      </c>
      <c r="K93" s="114">
        <f>K94+K95+K96</f>
        <v>3432559243</v>
      </c>
      <c r="L93" s="112"/>
      <c r="M93" s="112"/>
      <c r="N93" s="112"/>
      <c r="O93" s="112"/>
      <c r="P93" s="115">
        <v>100</v>
      </c>
      <c r="Q93" s="114">
        <f>Q94+Q95+Q96</f>
        <v>1120854149</v>
      </c>
      <c r="R93" s="109">
        <v>100</v>
      </c>
      <c r="S93" s="114">
        <f>S94+S95+S96</f>
        <v>1168868094</v>
      </c>
      <c r="T93" s="109">
        <v>100</v>
      </c>
      <c r="U93" s="114">
        <f>U94+U95+U96</f>
        <v>1142837000</v>
      </c>
      <c r="V93" s="112"/>
      <c r="W93" s="112"/>
      <c r="X93" s="112"/>
      <c r="Y93" s="112"/>
      <c r="Z93" s="115">
        <v>100</v>
      </c>
      <c r="AA93" s="114">
        <f>AA94+AA95+AA96</f>
        <v>1038019975</v>
      </c>
      <c r="AB93" s="239">
        <v>1</v>
      </c>
      <c r="AC93" s="114">
        <f>AC94+AC95+AC96</f>
        <v>1069081971</v>
      </c>
      <c r="AD93" s="239">
        <v>1</v>
      </c>
      <c r="AE93" s="114">
        <f>AE94+AE95+AE96</f>
        <v>1011627137</v>
      </c>
      <c r="AF93" s="112"/>
      <c r="AG93" s="112"/>
      <c r="AH93" s="112"/>
      <c r="AI93" s="112"/>
      <c r="AJ93" s="239">
        <v>1</v>
      </c>
      <c r="AK93" s="238">
        <f t="shared" si="10"/>
        <v>0.92609727672962383</v>
      </c>
      <c r="AL93" s="556">
        <f t="shared" si="9"/>
        <v>0.01</v>
      </c>
      <c r="AM93" s="241">
        <f t="shared" si="11"/>
        <v>0.91463012506524966</v>
      </c>
      <c r="AN93" s="112">
        <f t="shared" si="12"/>
        <v>0.01</v>
      </c>
      <c r="AO93" s="112">
        <f t="shared" si="13"/>
        <v>0.88518934633722923</v>
      </c>
      <c r="AP93" s="116"/>
      <c r="AR93" s="102"/>
    </row>
    <row r="94" spans="1:50" ht="111.75" customHeight="1">
      <c r="A94" s="105"/>
      <c r="B94" s="106"/>
      <c r="C94" s="206"/>
      <c r="D94" s="107"/>
      <c r="E94" s="108"/>
      <c r="F94" s="134" t="s">
        <v>134</v>
      </c>
      <c r="G94" s="43" t="s">
        <v>135</v>
      </c>
      <c r="H94" s="120" t="s">
        <v>548</v>
      </c>
      <c r="I94" s="120"/>
      <c r="J94" s="117" t="s">
        <v>247</v>
      </c>
      <c r="K94" s="120">
        <f t="shared" ref="K94:K96" si="16">M94+O94+Q94+S94+U94</f>
        <v>17957000</v>
      </c>
      <c r="L94" s="120"/>
      <c r="M94" s="120"/>
      <c r="N94" s="120"/>
      <c r="O94" s="120"/>
      <c r="P94" s="117" t="s">
        <v>247</v>
      </c>
      <c r="Q94" s="137">
        <f>'[13]SPJ FUNGSIONAL '!$O$85</f>
        <v>6560000</v>
      </c>
      <c r="R94" s="117">
        <v>1</v>
      </c>
      <c r="S94" s="137">
        <v>6560000</v>
      </c>
      <c r="T94" s="117">
        <v>1</v>
      </c>
      <c r="U94" s="137">
        <v>4837000</v>
      </c>
      <c r="V94" s="120"/>
      <c r="W94" s="120"/>
      <c r="X94" s="120"/>
      <c r="Y94" s="120"/>
      <c r="Z94" s="117">
        <v>1</v>
      </c>
      <c r="AA94" s="137">
        <f>'[13]SPJ FUNGSIONAL '!$Y$85</f>
        <v>4837000</v>
      </c>
      <c r="AB94" s="533">
        <v>1</v>
      </c>
      <c r="AC94" s="533">
        <f>'LRA 2022'!U90</f>
        <v>4648000</v>
      </c>
      <c r="AD94" s="120">
        <v>1</v>
      </c>
      <c r="AE94" s="533">
        <f>'LRA 2023'!U93</f>
        <v>1100000</v>
      </c>
      <c r="AF94" s="120"/>
      <c r="AG94" s="120"/>
      <c r="AH94" s="120"/>
      <c r="AI94" s="120"/>
      <c r="AJ94" s="240">
        <v>1</v>
      </c>
      <c r="AK94" s="234">
        <f t="shared" si="10"/>
        <v>0.73734756097560972</v>
      </c>
      <c r="AL94" s="551">
        <f t="shared" si="9"/>
        <v>1</v>
      </c>
      <c r="AM94" s="236">
        <f t="shared" si="11"/>
        <v>0.70853658536585362</v>
      </c>
      <c r="AN94" s="120">
        <f t="shared" si="12"/>
        <v>1</v>
      </c>
      <c r="AO94" s="120">
        <f t="shared" si="13"/>
        <v>0.22741368616911309</v>
      </c>
      <c r="AP94" s="71"/>
      <c r="AR94" s="102" t="e">
        <f>#REF!</f>
        <v>#REF!</v>
      </c>
    </row>
    <row r="95" spans="1:50" ht="111.75" customHeight="1">
      <c r="A95" s="105"/>
      <c r="B95" s="106"/>
      <c r="C95" s="206"/>
      <c r="D95" s="107"/>
      <c r="E95" s="108"/>
      <c r="F95" s="134" t="s">
        <v>136</v>
      </c>
      <c r="G95" s="43" t="s">
        <v>137</v>
      </c>
      <c r="H95" s="120" t="s">
        <v>554</v>
      </c>
      <c r="I95" s="120"/>
      <c r="J95" s="43" t="s">
        <v>248</v>
      </c>
      <c r="K95" s="120">
        <f t="shared" si="16"/>
        <v>239443843</v>
      </c>
      <c r="L95" s="120"/>
      <c r="M95" s="120"/>
      <c r="N95" s="120"/>
      <c r="O95" s="120"/>
      <c r="P95" s="43" t="s">
        <v>248</v>
      </c>
      <c r="Q95" s="139">
        <f>'[13]SPJ FUNGSIONAL '!$O$91</f>
        <v>89577349</v>
      </c>
      <c r="R95" s="43">
        <v>34</v>
      </c>
      <c r="S95" s="139">
        <v>91866494</v>
      </c>
      <c r="T95" s="43">
        <v>34</v>
      </c>
      <c r="U95" s="139">
        <v>58000000</v>
      </c>
      <c r="V95" s="120"/>
      <c r="W95" s="120"/>
      <c r="X95" s="120"/>
      <c r="Y95" s="120"/>
      <c r="Z95" s="43">
        <v>34</v>
      </c>
      <c r="AA95" s="139">
        <f>'[13]SPJ FUNGSIONAL '!$Y$91</f>
        <v>57977278</v>
      </c>
      <c r="AB95" s="533">
        <v>27</v>
      </c>
      <c r="AC95" s="533">
        <f>'LRA 2022'!U96</f>
        <v>60353363</v>
      </c>
      <c r="AD95" s="120">
        <v>27</v>
      </c>
      <c r="AE95" s="533">
        <f>'LRA 2023'!U99</f>
        <v>51796417</v>
      </c>
      <c r="AF95" s="120"/>
      <c r="AG95" s="120"/>
      <c r="AH95" s="120"/>
      <c r="AI95" s="120"/>
      <c r="AJ95" s="240">
        <v>1</v>
      </c>
      <c r="AK95" s="234">
        <f t="shared" si="10"/>
        <v>0.64723145580028274</v>
      </c>
      <c r="AL95" s="551">
        <f t="shared" si="9"/>
        <v>0.79411764705882348</v>
      </c>
      <c r="AM95" s="236">
        <f t="shared" si="11"/>
        <v>0.65696817601420598</v>
      </c>
      <c r="AN95" s="120">
        <f t="shared" si="12"/>
        <v>0.79411764705882348</v>
      </c>
      <c r="AO95" s="120">
        <f t="shared" si="13"/>
        <v>0.89304167241379306</v>
      </c>
      <c r="AP95" s="71"/>
      <c r="AR95" s="102" t="e">
        <f>#REF!</f>
        <v>#REF!</v>
      </c>
    </row>
    <row r="96" spans="1:50" ht="111.75" customHeight="1">
      <c r="A96" s="105"/>
      <c r="B96" s="106"/>
      <c r="C96" s="206"/>
      <c r="D96" s="107"/>
      <c r="E96" s="108"/>
      <c r="F96" s="134" t="s">
        <v>138</v>
      </c>
      <c r="G96" s="43" t="s">
        <v>139</v>
      </c>
      <c r="H96" s="120" t="s">
        <v>546</v>
      </c>
      <c r="I96" s="120"/>
      <c r="J96" s="117" t="s">
        <v>284</v>
      </c>
      <c r="K96" s="120">
        <f t="shared" si="16"/>
        <v>3175158400</v>
      </c>
      <c r="L96" s="120"/>
      <c r="M96" s="120"/>
      <c r="N96" s="120"/>
      <c r="O96" s="120"/>
      <c r="P96" s="117" t="s">
        <v>249</v>
      </c>
      <c r="Q96" s="139">
        <f>'[13]SPJ FUNGSIONAL '!$O$99</f>
        <v>1024716800</v>
      </c>
      <c r="R96" s="117">
        <v>36</v>
      </c>
      <c r="S96" s="139">
        <v>1070441600</v>
      </c>
      <c r="T96" s="117">
        <v>36</v>
      </c>
      <c r="U96" s="139">
        <v>1080000000</v>
      </c>
      <c r="V96" s="120"/>
      <c r="W96" s="120"/>
      <c r="X96" s="120"/>
      <c r="Y96" s="120"/>
      <c r="Z96" s="117">
        <v>34</v>
      </c>
      <c r="AA96" s="139">
        <f>'[13]SPJ FUNGSIONAL '!$Y$99</f>
        <v>975205697</v>
      </c>
      <c r="AB96" s="533">
        <v>35</v>
      </c>
      <c r="AC96" s="533">
        <f>'LRA 2022'!U104</f>
        <v>1004080608</v>
      </c>
      <c r="AD96" s="120">
        <v>35</v>
      </c>
      <c r="AE96" s="533">
        <f>'LRA 2023'!U106</f>
        <v>958730720</v>
      </c>
      <c r="AF96" s="120"/>
      <c r="AG96" s="120"/>
      <c r="AH96" s="120"/>
      <c r="AI96" s="120"/>
      <c r="AJ96" s="240">
        <v>1</v>
      </c>
      <c r="AK96" s="234">
        <f t="shared" si="10"/>
        <v>0.95168313528186521</v>
      </c>
      <c r="AL96" s="551">
        <f t="shared" si="9"/>
        <v>0.97222222222222221</v>
      </c>
      <c r="AM96" s="236">
        <f t="shared" si="11"/>
        <v>0.93800596688320037</v>
      </c>
      <c r="AN96" s="120">
        <f t="shared" si="12"/>
        <v>0.97222222222222221</v>
      </c>
      <c r="AO96" s="120">
        <f t="shared" si="13"/>
        <v>0.88771362962962963</v>
      </c>
      <c r="AP96" s="71"/>
      <c r="AR96" s="102" t="e">
        <f>#REF!</f>
        <v>#REF!</v>
      </c>
      <c r="AS96" s="149">
        <f>11*12*23*100000</f>
        <v>303600000</v>
      </c>
      <c r="AT96" s="149">
        <f>13*12*23*80000</f>
        <v>287040000</v>
      </c>
      <c r="AU96" s="149">
        <f>10*365*80000</f>
        <v>292000000</v>
      </c>
      <c r="AV96" s="150">
        <f>2*3300000*12</f>
        <v>79200000</v>
      </c>
      <c r="AW96" s="151">
        <f>36*1500000</f>
        <v>54000000</v>
      </c>
      <c r="AX96" s="151">
        <f>36*12*25000</f>
        <v>10800000</v>
      </c>
    </row>
    <row r="97" spans="1:51" ht="111.75" customHeight="1">
      <c r="A97" s="142"/>
      <c r="B97" s="143"/>
      <c r="C97" s="207"/>
      <c r="D97" s="144"/>
      <c r="E97" s="145"/>
      <c r="F97" s="127" t="s">
        <v>140</v>
      </c>
      <c r="G97" s="128" t="s">
        <v>141</v>
      </c>
      <c r="H97" s="112" t="s">
        <v>545</v>
      </c>
      <c r="I97" s="112"/>
      <c r="J97" s="115">
        <v>90</v>
      </c>
      <c r="K97" s="114">
        <f>K98+K99+K100+K101</f>
        <v>2227471500</v>
      </c>
      <c r="L97" s="112"/>
      <c r="M97" s="112"/>
      <c r="N97" s="112"/>
      <c r="O97" s="112"/>
      <c r="P97" s="115">
        <v>90</v>
      </c>
      <c r="Q97" s="114">
        <f>Q98+Q99+Q100+Q101</f>
        <v>496797500</v>
      </c>
      <c r="R97" s="115">
        <v>90</v>
      </c>
      <c r="S97" s="114">
        <f>S98+S99+S100+S101</f>
        <v>643174000</v>
      </c>
      <c r="T97" s="115">
        <v>90</v>
      </c>
      <c r="U97" s="114">
        <f>U98+U99+U100+U101</f>
        <v>1087500000</v>
      </c>
      <c r="V97" s="112"/>
      <c r="W97" s="112"/>
      <c r="X97" s="112"/>
      <c r="Y97" s="112"/>
      <c r="Z97" s="115">
        <v>100</v>
      </c>
      <c r="AA97" s="114">
        <f>AA98+AA99+AA100+AA101</f>
        <v>403235731</v>
      </c>
      <c r="AB97" s="239">
        <v>1</v>
      </c>
      <c r="AC97" s="114">
        <f>AC98+AC99+AC100+AC101</f>
        <v>295413003</v>
      </c>
      <c r="AD97" s="239">
        <v>0.72</v>
      </c>
      <c r="AE97" s="114">
        <f>AE98+AE99+AE100+AE101</f>
        <v>450389367.19999999</v>
      </c>
      <c r="AF97" s="112"/>
      <c r="AG97" s="112"/>
      <c r="AH97" s="112"/>
      <c r="AI97" s="112"/>
      <c r="AJ97" s="241">
        <f>Z97/P97*100%</f>
        <v>1.1111111111111112</v>
      </c>
      <c r="AK97" s="238">
        <f t="shared" si="10"/>
        <v>0.81167020969308423</v>
      </c>
      <c r="AL97" s="237">
        <f t="shared" si="9"/>
        <v>1.1111111111111112E-2</v>
      </c>
      <c r="AM97" s="241">
        <f t="shared" si="11"/>
        <v>0.45930495169269903</v>
      </c>
      <c r="AN97" s="112">
        <f t="shared" si="12"/>
        <v>8.0000000000000002E-3</v>
      </c>
      <c r="AO97" s="112">
        <f t="shared" si="13"/>
        <v>0.41415114225287353</v>
      </c>
      <c r="AP97" s="116"/>
      <c r="AR97" s="102" t="e">
        <f>#REF!</f>
        <v>#REF!</v>
      </c>
    </row>
    <row r="98" spans="1:51" ht="165.75" customHeight="1">
      <c r="A98" s="105"/>
      <c r="B98" s="106"/>
      <c r="C98" s="206"/>
      <c r="D98" s="107"/>
      <c r="E98" s="108"/>
      <c r="F98" s="134" t="s">
        <v>142</v>
      </c>
      <c r="G98" s="43" t="s">
        <v>143</v>
      </c>
      <c r="H98" s="120" t="s">
        <v>553</v>
      </c>
      <c r="I98" s="120"/>
      <c r="J98" s="117">
        <v>0</v>
      </c>
      <c r="K98" s="120">
        <f t="shared" ref="K98:K101" si="17">M98+O98+Q98+S98+U98</f>
        <v>100369000</v>
      </c>
      <c r="L98" s="120"/>
      <c r="M98" s="120"/>
      <c r="N98" s="120"/>
      <c r="O98" s="120"/>
      <c r="P98" s="117">
        <v>35</v>
      </c>
      <c r="Q98" s="137">
        <f>'[13]SPJ FUNGSIONAL '!$O$112</f>
        <v>100369000</v>
      </c>
      <c r="R98" s="117">
        <v>0</v>
      </c>
      <c r="S98" s="117">
        <v>0</v>
      </c>
      <c r="T98" s="117">
        <v>0</v>
      </c>
      <c r="U98" s="117"/>
      <c r="V98" s="120"/>
      <c r="W98" s="120"/>
      <c r="X98" s="120"/>
      <c r="Y98" s="120"/>
      <c r="Z98" s="117">
        <v>35</v>
      </c>
      <c r="AA98" s="137">
        <f>'[13]SPJ FUNGSIONAL '!$Y$112</f>
        <v>74786900</v>
      </c>
      <c r="AB98" s="120">
        <v>0</v>
      </c>
      <c r="AC98" s="120">
        <v>0</v>
      </c>
      <c r="AD98" s="120"/>
      <c r="AE98" s="120">
        <v>0</v>
      </c>
      <c r="AF98" s="120"/>
      <c r="AG98" s="120"/>
      <c r="AH98" s="120"/>
      <c r="AI98" s="120"/>
      <c r="AJ98" s="235">
        <v>1</v>
      </c>
      <c r="AK98" s="234">
        <f t="shared" si="10"/>
        <v>0.74511950901174662</v>
      </c>
      <c r="AL98" s="551"/>
      <c r="AM98" s="236"/>
      <c r="AN98" s="120"/>
      <c r="AO98" s="120"/>
      <c r="AP98" s="71"/>
      <c r="AR98" s="102"/>
    </row>
    <row r="99" spans="1:51" ht="170.25" customHeight="1">
      <c r="A99" s="105"/>
      <c r="B99" s="106"/>
      <c r="C99" s="206"/>
      <c r="D99" s="107"/>
      <c r="E99" s="108"/>
      <c r="F99" s="134" t="s">
        <v>144</v>
      </c>
      <c r="G99" s="43" t="s">
        <v>143</v>
      </c>
      <c r="H99" s="120" t="s">
        <v>553</v>
      </c>
      <c r="I99" s="120"/>
      <c r="J99" s="117">
        <v>48</v>
      </c>
      <c r="K99" s="120">
        <f t="shared" si="17"/>
        <v>375063000</v>
      </c>
      <c r="L99" s="120"/>
      <c r="M99" s="120"/>
      <c r="N99" s="120"/>
      <c r="O99" s="120"/>
      <c r="P99" s="117">
        <v>12</v>
      </c>
      <c r="Q99" s="137">
        <f>'[13]SPJ FUNGSIONAL '!$O$124</f>
        <v>84244500</v>
      </c>
      <c r="R99" s="117">
        <v>47</v>
      </c>
      <c r="S99" s="137">
        <v>193318500</v>
      </c>
      <c r="T99" s="117">
        <v>48</v>
      </c>
      <c r="U99" s="137">
        <v>97500000</v>
      </c>
      <c r="V99" s="120"/>
      <c r="W99" s="120"/>
      <c r="X99" s="120"/>
      <c r="Y99" s="120"/>
      <c r="Z99" s="117">
        <v>12</v>
      </c>
      <c r="AA99" s="137">
        <f>'[13]SPJ FUNGSIONAL '!$Y$124</f>
        <v>76049876</v>
      </c>
      <c r="AB99" s="533">
        <v>55</v>
      </c>
      <c r="AC99" s="533">
        <f>'LRA 2022'!U117</f>
        <v>167945800</v>
      </c>
      <c r="AD99" s="120">
        <v>48</v>
      </c>
      <c r="AE99" s="533">
        <f>'LRA 2023'!U119</f>
        <v>130372025</v>
      </c>
      <c r="AF99" s="120"/>
      <c r="AG99" s="120"/>
      <c r="AH99" s="120"/>
      <c r="AI99" s="120"/>
      <c r="AJ99" s="235">
        <f>Z99/P99</f>
        <v>1</v>
      </c>
      <c r="AK99" s="234">
        <f t="shared" si="10"/>
        <v>0.90272808313895858</v>
      </c>
      <c r="AL99" s="551">
        <f t="shared" si="9"/>
        <v>1.1702127659574468</v>
      </c>
      <c r="AM99" s="236">
        <f t="shared" si="11"/>
        <v>0.86875182664876871</v>
      </c>
      <c r="AN99" s="120">
        <f t="shared" si="12"/>
        <v>1</v>
      </c>
      <c r="AO99" s="120">
        <f t="shared" si="13"/>
        <v>1.3371489743589744</v>
      </c>
      <c r="AP99" s="71"/>
      <c r="AR99" s="102"/>
      <c r="AS99" s="102">
        <f>67500000+30000000</f>
        <v>97500000</v>
      </c>
      <c r="AT99" s="1">
        <f>45*1500000</f>
        <v>67500000</v>
      </c>
    </row>
    <row r="100" spans="1:51" ht="89.25" customHeight="1">
      <c r="A100" s="105"/>
      <c r="B100" s="106"/>
      <c r="C100" s="206"/>
      <c r="D100" s="107"/>
      <c r="E100" s="108"/>
      <c r="F100" s="134" t="s">
        <v>145</v>
      </c>
      <c r="G100" s="43" t="s">
        <v>146</v>
      </c>
      <c r="H100" s="120" t="s">
        <v>553</v>
      </c>
      <c r="I100" s="120"/>
      <c r="J100" s="117" t="s">
        <v>285</v>
      </c>
      <c r="K100" s="120">
        <f t="shared" si="17"/>
        <v>399143500</v>
      </c>
      <c r="L100" s="120"/>
      <c r="M100" s="120"/>
      <c r="N100" s="120"/>
      <c r="O100" s="120"/>
      <c r="P100" s="117" t="s">
        <v>250</v>
      </c>
      <c r="Q100" s="137">
        <f>'[13]SPJ FUNGSIONAL '!$O$137</f>
        <v>209288000</v>
      </c>
      <c r="R100" s="117">
        <v>100</v>
      </c>
      <c r="S100" s="137">
        <v>99855500</v>
      </c>
      <c r="T100" s="117">
        <v>100</v>
      </c>
      <c r="U100" s="137">
        <v>90000000</v>
      </c>
      <c r="V100" s="120"/>
      <c r="W100" s="120"/>
      <c r="X100" s="120"/>
      <c r="Y100" s="120"/>
      <c r="Z100" s="117" t="s">
        <v>147</v>
      </c>
      <c r="AA100" s="137">
        <f>'[13]SPJ FUNGSIONAL '!$Y$137</f>
        <v>169329300</v>
      </c>
      <c r="AB100" s="533">
        <v>108</v>
      </c>
      <c r="AC100" s="533">
        <f>'LRA 2022'!U130</f>
        <v>58334500</v>
      </c>
      <c r="AD100" s="120">
        <v>100</v>
      </c>
      <c r="AE100" s="533">
        <f>'LRA 2023'!U133</f>
        <v>64180000</v>
      </c>
      <c r="AF100" s="120"/>
      <c r="AG100" s="120"/>
      <c r="AH100" s="120"/>
      <c r="AI100" s="120"/>
      <c r="AJ100" s="235">
        <v>1</v>
      </c>
      <c r="AK100" s="234">
        <f t="shared" si="10"/>
        <v>0.8090731432284699</v>
      </c>
      <c r="AL100" s="551">
        <f t="shared" si="9"/>
        <v>1.08</v>
      </c>
      <c r="AM100" s="236">
        <f t="shared" si="11"/>
        <v>0.58418915332655685</v>
      </c>
      <c r="AN100" s="120">
        <f t="shared" si="12"/>
        <v>1</v>
      </c>
      <c r="AO100" s="120">
        <f t="shared" si="13"/>
        <v>0.71311111111111114</v>
      </c>
      <c r="AP100" s="71"/>
      <c r="AR100" s="102"/>
    </row>
    <row r="101" spans="1:51" ht="136.5" customHeight="1">
      <c r="A101" s="105"/>
      <c r="B101" s="106"/>
      <c r="C101" s="206"/>
      <c r="D101" s="107"/>
      <c r="E101" s="108"/>
      <c r="F101" s="134" t="s">
        <v>148</v>
      </c>
      <c r="G101" s="43" t="s">
        <v>149</v>
      </c>
      <c r="H101" s="120" t="s">
        <v>553</v>
      </c>
      <c r="I101" s="120"/>
      <c r="J101" s="117" t="s">
        <v>286</v>
      </c>
      <c r="K101" s="120">
        <f t="shared" si="17"/>
        <v>1352896000</v>
      </c>
      <c r="L101" s="120"/>
      <c r="M101" s="120"/>
      <c r="N101" s="120"/>
      <c r="O101" s="120"/>
      <c r="P101" s="117">
        <v>2</v>
      </c>
      <c r="Q101" s="137">
        <f>'[13]SPJ FUNGSIONAL '!$O$162</f>
        <v>102896000</v>
      </c>
      <c r="R101" s="117">
        <v>10</v>
      </c>
      <c r="S101" s="139">
        <v>350000000</v>
      </c>
      <c r="T101" s="117">
        <v>10</v>
      </c>
      <c r="U101" s="139">
        <f>250000000+650000000</f>
        <v>900000000</v>
      </c>
      <c r="V101" s="120"/>
      <c r="W101" s="120"/>
      <c r="X101" s="120"/>
      <c r="Y101" s="120"/>
      <c r="Z101" s="117">
        <v>2</v>
      </c>
      <c r="AA101" s="137">
        <f>'[13]SPJ FUNGSIONAL '!$Y$162</f>
        <v>83069655</v>
      </c>
      <c r="AB101" s="533">
        <v>7</v>
      </c>
      <c r="AC101" s="533">
        <f>'LRA 2022'!U144</f>
        <v>69132703</v>
      </c>
      <c r="AD101" s="120">
        <v>6</v>
      </c>
      <c r="AE101" s="533">
        <f>'LRA 2023'!U142</f>
        <v>255837342.19999999</v>
      </c>
      <c r="AF101" s="120"/>
      <c r="AG101" s="120"/>
      <c r="AH101" s="120"/>
      <c r="AI101" s="120"/>
      <c r="AJ101" s="235">
        <v>1</v>
      </c>
      <c r="AK101" s="234">
        <f t="shared" si="10"/>
        <v>0.80731665953972942</v>
      </c>
      <c r="AL101" s="551">
        <f t="shared" si="9"/>
        <v>0.7</v>
      </c>
      <c r="AM101" s="236">
        <f t="shared" si="11"/>
        <v>0.19752200857142857</v>
      </c>
      <c r="AN101" s="120">
        <f t="shared" si="12"/>
        <v>0.6</v>
      </c>
      <c r="AO101" s="120">
        <f t="shared" si="13"/>
        <v>0.28426371355555552</v>
      </c>
      <c r="AP101" s="71"/>
      <c r="AR101" s="102" t="s">
        <v>150</v>
      </c>
    </row>
    <row r="102" spans="1:51" ht="171" customHeight="1">
      <c r="A102" s="152"/>
      <c r="B102" s="152"/>
      <c r="C102" s="153">
        <v>2</v>
      </c>
      <c r="D102" s="153"/>
      <c r="E102" s="154"/>
      <c r="F102" s="155" t="s">
        <v>151</v>
      </c>
      <c r="G102" s="97" t="s">
        <v>152</v>
      </c>
      <c r="H102" s="156" t="s">
        <v>545</v>
      </c>
      <c r="I102" s="156"/>
      <c r="J102" s="184">
        <v>1</v>
      </c>
      <c r="K102" s="99">
        <f>K103+K108+K112</f>
        <v>10398279900</v>
      </c>
      <c r="L102" s="156"/>
      <c r="M102" s="156"/>
      <c r="N102" s="156"/>
      <c r="O102" s="156"/>
      <c r="P102" s="184">
        <v>1</v>
      </c>
      <c r="Q102" s="99">
        <f>Q103+Q108+Q112</f>
        <v>2640675750</v>
      </c>
      <c r="R102" s="184">
        <v>1</v>
      </c>
      <c r="S102" s="99">
        <f>S103+S108+S112</f>
        <v>4126037900</v>
      </c>
      <c r="T102" s="184">
        <v>1</v>
      </c>
      <c r="U102" s="99">
        <f>U103+U108+U112</f>
        <v>3631566250</v>
      </c>
      <c r="V102" s="156"/>
      <c r="W102" s="156"/>
      <c r="X102" s="156"/>
      <c r="Y102" s="156"/>
      <c r="Z102" s="233">
        <v>1</v>
      </c>
      <c r="AA102" s="99">
        <f>AA103+AA108+AA112</f>
        <v>2508580560</v>
      </c>
      <c r="AB102" s="184">
        <v>1</v>
      </c>
      <c r="AC102" s="99">
        <f>AC103+AC108+AC112</f>
        <v>3636844995</v>
      </c>
      <c r="AD102" s="156">
        <v>100</v>
      </c>
      <c r="AE102" s="99">
        <f>AE103+AE108+AE112</f>
        <v>3439767410</v>
      </c>
      <c r="AF102" s="156"/>
      <c r="AG102" s="156"/>
      <c r="AH102" s="156"/>
      <c r="AI102" s="156"/>
      <c r="AJ102" s="231">
        <f>Z102/P102*100%</f>
        <v>1</v>
      </c>
      <c r="AK102" s="232">
        <f>AA102/Q102*100%</f>
        <v>0.94997674742913818</v>
      </c>
      <c r="AL102" s="231">
        <f>AB102/R102*100%</f>
        <v>1</v>
      </c>
      <c r="AM102" s="232">
        <f t="shared" si="11"/>
        <v>0.88143761233991569</v>
      </c>
      <c r="AN102" s="98">
        <f t="shared" si="12"/>
        <v>100</v>
      </c>
      <c r="AO102" s="98">
        <f t="shared" si="13"/>
        <v>0.94718564200777011</v>
      </c>
      <c r="AP102" s="95" t="s">
        <v>153</v>
      </c>
      <c r="AR102" s="102"/>
      <c r="AT102" s="104">
        <f>'[13]SPJ FUNGSIONAL '!$Y$168</f>
        <v>2508580560</v>
      </c>
    </row>
    <row r="103" spans="1:51" ht="72.5">
      <c r="A103" s="109"/>
      <c r="B103" s="109"/>
      <c r="C103" s="157"/>
      <c r="D103" s="157"/>
      <c r="E103" s="158"/>
      <c r="F103" s="159" t="s">
        <v>154</v>
      </c>
      <c r="G103" s="128" t="s">
        <v>155</v>
      </c>
      <c r="H103" s="115" t="s">
        <v>551</v>
      </c>
      <c r="I103" s="115"/>
      <c r="J103" s="115" t="s">
        <v>251</v>
      </c>
      <c r="K103" s="114">
        <f>K104+K107</f>
        <v>291048100</v>
      </c>
      <c r="L103" s="115"/>
      <c r="M103" s="115"/>
      <c r="N103" s="115"/>
      <c r="O103" s="115"/>
      <c r="P103" s="115" t="s">
        <v>251</v>
      </c>
      <c r="Q103" s="114">
        <f>Q104+Q107</f>
        <v>213409350</v>
      </c>
      <c r="R103" s="115">
        <v>12</v>
      </c>
      <c r="S103" s="114">
        <f>S104+S107</f>
        <v>52638750</v>
      </c>
      <c r="T103" s="115">
        <v>12</v>
      </c>
      <c r="U103" s="114">
        <f>U104+U107</f>
        <v>25000000</v>
      </c>
      <c r="V103" s="115"/>
      <c r="W103" s="115"/>
      <c r="X103" s="115"/>
      <c r="Y103" s="115"/>
      <c r="Z103" s="115">
        <v>12</v>
      </c>
      <c r="AA103" s="114">
        <f>AA104+AA107</f>
        <v>207675800</v>
      </c>
      <c r="AB103" s="115">
        <v>0</v>
      </c>
      <c r="AC103" s="114">
        <f>AC104+AC107</f>
        <v>0</v>
      </c>
      <c r="AD103" s="115"/>
      <c r="AE103" s="114">
        <f>AE104+AE107</f>
        <v>0</v>
      </c>
      <c r="AF103" s="115"/>
      <c r="AG103" s="115"/>
      <c r="AH103" s="115"/>
      <c r="AI103" s="115"/>
      <c r="AJ103" s="242">
        <v>1</v>
      </c>
      <c r="AK103" s="238">
        <f t="shared" ref="AK103:AK109" si="18">AA103/Q103*100%</f>
        <v>0.97313355764403009</v>
      </c>
      <c r="AL103" s="556">
        <f t="shared" si="9"/>
        <v>0</v>
      </c>
      <c r="AM103" s="241">
        <f t="shared" si="11"/>
        <v>0</v>
      </c>
      <c r="AN103" s="112">
        <f t="shared" si="12"/>
        <v>0</v>
      </c>
      <c r="AO103" s="112">
        <f t="shared" si="13"/>
        <v>0</v>
      </c>
      <c r="AP103" s="109" t="s">
        <v>153</v>
      </c>
      <c r="AR103" s="102" t="e">
        <f>#REF!</f>
        <v>#REF!</v>
      </c>
    </row>
    <row r="104" spans="1:51" ht="138.75" customHeight="1">
      <c r="A104" s="136"/>
      <c r="B104" s="136"/>
      <c r="C104" s="160"/>
      <c r="D104" s="160"/>
      <c r="E104" s="161"/>
      <c r="F104" s="162" t="s">
        <v>156</v>
      </c>
      <c r="G104" s="43" t="s">
        <v>157</v>
      </c>
      <c r="H104" s="136" t="s">
        <v>555</v>
      </c>
      <c r="I104" s="136"/>
      <c r="J104" s="136"/>
      <c r="K104" s="120">
        <f t="shared" ref="K104:K107" si="19">M104+O104+Q104+S104+U104</f>
        <v>213409350</v>
      </c>
      <c r="L104" s="136"/>
      <c r="M104" s="136"/>
      <c r="N104" s="136"/>
      <c r="O104" s="136"/>
      <c r="P104" s="163" t="s">
        <v>252</v>
      </c>
      <c r="Q104" s="137">
        <f>'[13]SPJ FUNGSIONAL '!$O$172</f>
        <v>213409350</v>
      </c>
      <c r="R104" s="136">
        <v>0</v>
      </c>
      <c r="S104" s="136">
        <v>0</v>
      </c>
      <c r="T104" s="136"/>
      <c r="U104" s="136">
        <v>0</v>
      </c>
      <c r="V104" s="136"/>
      <c r="W104" s="136"/>
      <c r="X104" s="136"/>
      <c r="Y104" s="136"/>
      <c r="Z104" s="163">
        <v>1</v>
      </c>
      <c r="AA104" s="137">
        <f>'[13]SPJ FUNGSIONAL '!$Y$172</f>
        <v>207675800</v>
      </c>
      <c r="AB104" s="136"/>
      <c r="AC104" s="136">
        <v>0</v>
      </c>
      <c r="AD104" s="136"/>
      <c r="AE104" s="542">
        <v>0</v>
      </c>
      <c r="AF104" s="136"/>
      <c r="AG104" s="136"/>
      <c r="AH104" s="136"/>
      <c r="AI104" s="136"/>
      <c r="AJ104" s="243">
        <v>1</v>
      </c>
      <c r="AK104" s="234">
        <f t="shared" si="18"/>
        <v>0.97313355764403009</v>
      </c>
      <c r="AL104" s="551"/>
      <c r="AM104" s="236"/>
      <c r="AN104" s="120"/>
      <c r="AO104" s="120"/>
      <c r="AP104" s="136"/>
      <c r="AR104" s="102"/>
    </row>
    <row r="105" spans="1:51" ht="72.75" customHeight="1">
      <c r="A105" s="136"/>
      <c r="B105" s="136"/>
      <c r="C105" s="160"/>
      <c r="D105" s="160"/>
      <c r="E105" s="161"/>
      <c r="F105" s="162"/>
      <c r="G105" s="43" t="s">
        <v>158</v>
      </c>
      <c r="H105" s="136" t="s">
        <v>546</v>
      </c>
      <c r="I105" s="136"/>
      <c r="J105" s="136">
        <v>0</v>
      </c>
      <c r="K105" s="120">
        <f t="shared" si="19"/>
        <v>0</v>
      </c>
      <c r="L105" s="136"/>
      <c r="M105" s="136"/>
      <c r="N105" s="136"/>
      <c r="O105" s="136"/>
      <c r="P105" s="136" t="s">
        <v>253</v>
      </c>
      <c r="Q105" s="137"/>
      <c r="R105" s="136">
        <v>0</v>
      </c>
      <c r="S105" s="136">
        <v>0</v>
      </c>
      <c r="T105" s="136">
        <v>0</v>
      </c>
      <c r="U105" s="136">
        <v>0</v>
      </c>
      <c r="V105" s="136"/>
      <c r="W105" s="136"/>
      <c r="X105" s="136"/>
      <c r="Y105" s="136"/>
      <c r="Z105" s="136">
        <v>6</v>
      </c>
      <c r="AA105" s="137"/>
      <c r="AB105" s="136"/>
      <c r="AC105" s="136"/>
      <c r="AD105" s="136"/>
      <c r="AE105" s="136"/>
      <c r="AF105" s="136"/>
      <c r="AG105" s="136"/>
      <c r="AH105" s="136"/>
      <c r="AI105" s="136"/>
      <c r="AJ105" s="243">
        <v>1</v>
      </c>
      <c r="AK105" s="234"/>
      <c r="AL105" s="551"/>
      <c r="AM105" s="236"/>
      <c r="AN105" s="120"/>
      <c r="AO105" s="120"/>
      <c r="AP105" s="136"/>
      <c r="AR105" s="102"/>
    </row>
    <row r="106" spans="1:51" ht="53.25" customHeight="1">
      <c r="A106" s="136"/>
      <c r="B106" s="136"/>
      <c r="C106" s="160"/>
      <c r="D106" s="160"/>
      <c r="E106" s="161"/>
      <c r="F106" s="162"/>
      <c r="G106" s="43" t="s">
        <v>159</v>
      </c>
      <c r="H106" s="136" t="s">
        <v>553</v>
      </c>
      <c r="I106" s="136"/>
      <c r="J106" s="136">
        <v>0</v>
      </c>
      <c r="K106" s="120">
        <f t="shared" si="19"/>
        <v>0</v>
      </c>
      <c r="L106" s="136"/>
      <c r="M106" s="136"/>
      <c r="N106" s="136"/>
      <c r="O106" s="136"/>
      <c r="P106" s="136" t="s">
        <v>254</v>
      </c>
      <c r="Q106" s="137"/>
      <c r="R106" s="136">
        <v>0</v>
      </c>
      <c r="S106" s="136">
        <v>0</v>
      </c>
      <c r="T106" s="136">
        <v>0</v>
      </c>
      <c r="U106" s="136">
        <v>0</v>
      </c>
      <c r="V106" s="136"/>
      <c r="W106" s="136"/>
      <c r="X106" s="136"/>
      <c r="Y106" s="136"/>
      <c r="Z106" s="136">
        <v>1</v>
      </c>
      <c r="AA106" s="137"/>
      <c r="AB106" s="136"/>
      <c r="AC106" s="136"/>
      <c r="AD106" s="136"/>
      <c r="AE106" s="136"/>
      <c r="AF106" s="136"/>
      <c r="AG106" s="136"/>
      <c r="AH106" s="136"/>
      <c r="AI106" s="136"/>
      <c r="AJ106" s="243">
        <v>1</v>
      </c>
      <c r="AK106" s="234"/>
      <c r="AL106" s="551"/>
      <c r="AM106" s="236"/>
      <c r="AN106" s="120"/>
      <c r="AO106" s="120"/>
      <c r="AP106" s="136"/>
      <c r="AR106" s="102"/>
    </row>
    <row r="107" spans="1:51" ht="171.75" customHeight="1">
      <c r="A107" s="136"/>
      <c r="B107" s="136"/>
      <c r="C107" s="160"/>
      <c r="D107" s="160"/>
      <c r="E107" s="161"/>
      <c r="F107" s="162" t="s">
        <v>160</v>
      </c>
      <c r="G107" s="43" t="s">
        <v>161</v>
      </c>
      <c r="H107" s="136" t="s">
        <v>546</v>
      </c>
      <c r="I107" s="136"/>
      <c r="J107" s="136">
        <v>20</v>
      </c>
      <c r="K107" s="120">
        <f t="shared" si="19"/>
        <v>77638750</v>
      </c>
      <c r="L107" s="136"/>
      <c r="M107" s="136"/>
      <c r="N107" s="136"/>
      <c r="O107" s="136"/>
      <c r="P107" s="136" t="s">
        <v>255</v>
      </c>
      <c r="Q107" s="137">
        <v>0</v>
      </c>
      <c r="R107" s="136">
        <v>30</v>
      </c>
      <c r="S107" s="137">
        <v>52638750</v>
      </c>
      <c r="T107" s="136">
        <v>20</v>
      </c>
      <c r="U107" s="137">
        <v>25000000</v>
      </c>
      <c r="V107" s="136"/>
      <c r="W107" s="136"/>
      <c r="X107" s="136"/>
      <c r="Y107" s="136"/>
      <c r="Z107" s="137">
        <v>0</v>
      </c>
      <c r="AA107" s="137">
        <v>0</v>
      </c>
      <c r="AB107" s="136"/>
      <c r="AC107" s="137">
        <v>0</v>
      </c>
      <c r="AD107" s="136"/>
      <c r="AE107" s="137">
        <v>0</v>
      </c>
      <c r="AF107" s="136"/>
      <c r="AG107" s="136"/>
      <c r="AH107" s="136"/>
      <c r="AI107" s="136"/>
      <c r="AJ107" s="136">
        <v>0</v>
      </c>
      <c r="AK107" s="234">
        <v>0</v>
      </c>
      <c r="AL107" s="551">
        <f t="shared" ref="AL107:AL112" si="20">AB107/R107</f>
        <v>0</v>
      </c>
      <c r="AM107" s="236">
        <f t="shared" si="11"/>
        <v>0</v>
      </c>
      <c r="AN107" s="120">
        <f t="shared" si="12"/>
        <v>0</v>
      </c>
      <c r="AO107" s="120">
        <f t="shared" si="13"/>
        <v>0</v>
      </c>
      <c r="AP107" s="136"/>
      <c r="AR107" s="102"/>
    </row>
    <row r="108" spans="1:51" ht="89.25" customHeight="1">
      <c r="A108" s="109"/>
      <c r="B108" s="109"/>
      <c r="C108" s="157"/>
      <c r="D108" s="157"/>
      <c r="E108" s="158"/>
      <c r="F108" s="159" t="s">
        <v>162</v>
      </c>
      <c r="G108" s="128" t="s">
        <v>163</v>
      </c>
      <c r="H108" s="115" t="s">
        <v>551</v>
      </c>
      <c r="I108" s="115"/>
      <c r="J108" s="115" t="s">
        <v>256</v>
      </c>
      <c r="K108" s="114">
        <f>K109</f>
        <v>4656476300</v>
      </c>
      <c r="L108" s="115"/>
      <c r="M108" s="115"/>
      <c r="N108" s="115"/>
      <c r="O108" s="115"/>
      <c r="P108" s="115" t="s">
        <v>256</v>
      </c>
      <c r="Q108" s="114">
        <f>Q109</f>
        <v>1493619900</v>
      </c>
      <c r="R108" s="115">
        <v>48</v>
      </c>
      <c r="S108" s="114">
        <f>S109</f>
        <v>1642290150</v>
      </c>
      <c r="T108" s="115">
        <v>48</v>
      </c>
      <c r="U108" s="114">
        <f>U109</f>
        <v>1520566250</v>
      </c>
      <c r="V108" s="115"/>
      <c r="W108" s="115"/>
      <c r="X108" s="115"/>
      <c r="Y108" s="115"/>
      <c r="Z108" s="115">
        <v>48</v>
      </c>
      <c r="AA108" s="114">
        <f>AA109</f>
        <v>1460305360</v>
      </c>
      <c r="AB108" s="115">
        <v>48</v>
      </c>
      <c r="AC108" s="114">
        <f>AC109</f>
        <v>1585773452</v>
      </c>
      <c r="AD108" s="115">
        <v>48</v>
      </c>
      <c r="AE108" s="114">
        <f>AE109</f>
        <v>1645626710</v>
      </c>
      <c r="AF108" s="115"/>
      <c r="AG108" s="115"/>
      <c r="AH108" s="115"/>
      <c r="AI108" s="115"/>
      <c r="AJ108" s="242">
        <v>1</v>
      </c>
      <c r="AK108" s="238">
        <f t="shared" si="18"/>
        <v>0.97769543643600354</v>
      </c>
      <c r="AL108" s="549">
        <f t="shared" si="20"/>
        <v>1</v>
      </c>
      <c r="AM108" s="241">
        <f t="shared" si="11"/>
        <v>0.96558665470897453</v>
      </c>
      <c r="AN108" s="112">
        <f t="shared" si="12"/>
        <v>1</v>
      </c>
      <c r="AO108" s="112">
        <f t="shared" si="13"/>
        <v>1.0822459790883823</v>
      </c>
      <c r="AP108" s="109" t="s">
        <v>153</v>
      </c>
      <c r="AR108" s="102"/>
    </row>
    <row r="109" spans="1:51" ht="130.5">
      <c r="A109" s="136"/>
      <c r="B109" s="136"/>
      <c r="C109" s="160"/>
      <c r="D109" s="160"/>
      <c r="E109" s="161"/>
      <c r="F109" s="162" t="s">
        <v>164</v>
      </c>
      <c r="G109" s="43" t="s">
        <v>165</v>
      </c>
      <c r="H109" s="136" t="s">
        <v>555</v>
      </c>
      <c r="I109" s="136"/>
      <c r="J109" s="163" t="s">
        <v>287</v>
      </c>
      <c r="K109" s="120">
        <f t="shared" ref="K109:K111" si="21">M109+O109+Q109+S109+U109</f>
        <v>4656476300</v>
      </c>
      <c r="L109" s="136"/>
      <c r="M109" s="136"/>
      <c r="N109" s="136"/>
      <c r="O109" s="136"/>
      <c r="P109" s="163" t="s">
        <v>257</v>
      </c>
      <c r="Q109" s="137">
        <f>'[13]SPJ FUNGSIONAL '!$O$192</f>
        <v>1493619900</v>
      </c>
      <c r="R109" s="163">
        <v>8</v>
      </c>
      <c r="S109" s="137">
        <v>1642290150</v>
      </c>
      <c r="T109" s="163">
        <v>8</v>
      </c>
      <c r="U109" s="164">
        <v>1520566250</v>
      </c>
      <c r="V109" s="136"/>
      <c r="W109" s="136"/>
      <c r="X109" s="136"/>
      <c r="Y109" s="136"/>
      <c r="Z109" s="163">
        <v>7</v>
      </c>
      <c r="AA109" s="137">
        <f>'[13]SPJ FUNGSIONAL '!$Y$192</f>
        <v>1460305360</v>
      </c>
      <c r="AB109" s="163">
        <v>8</v>
      </c>
      <c r="AC109" s="534">
        <f>'LRA 2022'!U154</f>
        <v>1585773452</v>
      </c>
      <c r="AD109" s="136">
        <v>8</v>
      </c>
      <c r="AE109" s="534">
        <f>'LRA 2023'!U161</f>
        <v>1645626710</v>
      </c>
      <c r="AF109" s="136"/>
      <c r="AG109" s="136"/>
      <c r="AH109" s="136"/>
      <c r="AI109" s="136"/>
      <c r="AJ109" s="243">
        <v>1</v>
      </c>
      <c r="AK109" s="234">
        <f t="shared" si="18"/>
        <v>0.97769543643600354</v>
      </c>
      <c r="AL109" s="551">
        <f t="shared" si="20"/>
        <v>1</v>
      </c>
      <c r="AM109" s="236">
        <f t="shared" si="11"/>
        <v>0.96558665470897453</v>
      </c>
      <c r="AN109" s="120">
        <f t="shared" si="12"/>
        <v>1</v>
      </c>
      <c r="AO109" s="120">
        <f t="shared" si="13"/>
        <v>1.0822459790883823</v>
      </c>
      <c r="AP109" s="136"/>
      <c r="AR109" s="102" t="e">
        <f>#REF!</f>
        <v>#REF!</v>
      </c>
      <c r="AS109" s="103">
        <f>AT109+AU109+AV109+AW109+AX109</f>
        <v>1520566250</v>
      </c>
      <c r="AT109" s="150">
        <f>48*365*80000</f>
        <v>1401600000</v>
      </c>
      <c r="AU109" s="150">
        <f>8*3000000</f>
        <v>24000000</v>
      </c>
      <c r="AV109" s="165">
        <f>48*1500000</f>
        <v>72000000</v>
      </c>
      <c r="AW109" s="165">
        <f>48*15000*12</f>
        <v>8640000</v>
      </c>
      <c r="AX109" s="165">
        <f>7850*5*365</f>
        <v>14326250</v>
      </c>
      <c r="AY109" s="103"/>
    </row>
    <row r="110" spans="1:51" ht="78" customHeight="1">
      <c r="A110" s="136"/>
      <c r="B110" s="136"/>
      <c r="C110" s="160"/>
      <c r="D110" s="160"/>
      <c r="E110" s="161"/>
      <c r="F110" s="162"/>
      <c r="G110" s="43" t="s">
        <v>158</v>
      </c>
      <c r="H110" s="136" t="s">
        <v>546</v>
      </c>
      <c r="I110" s="136"/>
      <c r="J110" s="136" t="s">
        <v>288</v>
      </c>
      <c r="K110" s="120">
        <f t="shared" si="21"/>
        <v>0</v>
      </c>
      <c r="L110" s="136"/>
      <c r="M110" s="136"/>
      <c r="N110" s="136"/>
      <c r="O110" s="136"/>
      <c r="P110" s="136" t="s">
        <v>258</v>
      </c>
      <c r="Q110" s="136"/>
      <c r="R110" s="136">
        <v>48</v>
      </c>
      <c r="S110" s="136"/>
      <c r="T110" s="136">
        <v>48</v>
      </c>
      <c r="U110" s="136"/>
      <c r="V110" s="136"/>
      <c r="W110" s="136"/>
      <c r="X110" s="136"/>
      <c r="Y110" s="136"/>
      <c r="Z110" s="136">
        <v>42</v>
      </c>
      <c r="AA110" s="136"/>
      <c r="AB110" s="136">
        <v>48</v>
      </c>
      <c r="AC110" s="136"/>
      <c r="AD110" s="136">
        <v>48</v>
      </c>
      <c r="AE110" s="136"/>
      <c r="AF110" s="136"/>
      <c r="AG110" s="136"/>
      <c r="AH110" s="136"/>
      <c r="AI110" s="136"/>
      <c r="AJ110" s="243">
        <v>1</v>
      </c>
      <c r="AK110" s="234"/>
      <c r="AL110" s="551">
        <f t="shared" si="20"/>
        <v>1</v>
      </c>
      <c r="AM110" s="236"/>
      <c r="AN110" s="120">
        <f t="shared" si="12"/>
        <v>1</v>
      </c>
      <c r="AO110" s="120"/>
      <c r="AP110" s="136"/>
      <c r="AR110" s="102"/>
    </row>
    <row r="111" spans="1:51" ht="64.5" customHeight="1">
      <c r="A111" s="136"/>
      <c r="B111" s="136"/>
      <c r="C111" s="160"/>
      <c r="D111" s="160"/>
      <c r="E111" s="161"/>
      <c r="F111" s="162"/>
      <c r="G111" s="43" t="s">
        <v>159</v>
      </c>
      <c r="H111" s="136" t="s">
        <v>553</v>
      </c>
      <c r="I111" s="136"/>
      <c r="J111" s="136" t="s">
        <v>283</v>
      </c>
      <c r="K111" s="120">
        <f t="shared" si="21"/>
        <v>0</v>
      </c>
      <c r="L111" s="136"/>
      <c r="M111" s="136"/>
      <c r="N111" s="136"/>
      <c r="O111" s="136"/>
      <c r="P111" s="136" t="s">
        <v>259</v>
      </c>
      <c r="Q111" s="136"/>
      <c r="R111" s="136">
        <v>8</v>
      </c>
      <c r="S111" s="136"/>
      <c r="T111" s="136">
        <v>8</v>
      </c>
      <c r="U111" s="136"/>
      <c r="V111" s="136"/>
      <c r="W111" s="136"/>
      <c r="X111" s="136"/>
      <c r="Y111" s="136"/>
      <c r="Z111" s="136">
        <v>7</v>
      </c>
      <c r="AA111" s="136"/>
      <c r="AB111" s="136">
        <v>8</v>
      </c>
      <c r="AC111" s="136"/>
      <c r="AD111" s="136">
        <v>8</v>
      </c>
      <c r="AE111" s="136"/>
      <c r="AF111" s="136"/>
      <c r="AG111" s="136"/>
      <c r="AH111" s="136"/>
      <c r="AI111" s="136"/>
      <c r="AJ111" s="243">
        <v>1</v>
      </c>
      <c r="AK111" s="234"/>
      <c r="AL111" s="551">
        <f t="shared" si="20"/>
        <v>1</v>
      </c>
      <c r="AM111" s="236"/>
      <c r="AN111" s="120">
        <f t="shared" si="12"/>
        <v>1</v>
      </c>
      <c r="AO111" s="120"/>
      <c r="AP111" s="136"/>
      <c r="AR111" s="102"/>
    </row>
    <row r="112" spans="1:51" ht="97.5" customHeight="1">
      <c r="A112" s="109"/>
      <c r="B112" s="109"/>
      <c r="C112" s="157"/>
      <c r="D112" s="157"/>
      <c r="E112" s="158"/>
      <c r="F112" s="159" t="s">
        <v>166</v>
      </c>
      <c r="G112" s="128" t="s">
        <v>167</v>
      </c>
      <c r="H112" s="115" t="s">
        <v>556</v>
      </c>
      <c r="I112" s="115"/>
      <c r="J112" s="128" t="s">
        <v>289</v>
      </c>
      <c r="K112" s="166">
        <f>K113</f>
        <v>5450755500</v>
      </c>
      <c r="L112" s="115"/>
      <c r="M112" s="115"/>
      <c r="N112" s="115"/>
      <c r="O112" s="115"/>
      <c r="P112" s="115" t="s">
        <v>260</v>
      </c>
      <c r="Q112" s="166">
        <f>Q113</f>
        <v>933646500</v>
      </c>
      <c r="R112" s="128">
        <v>11</v>
      </c>
      <c r="S112" s="166">
        <f>S113</f>
        <v>2431109000</v>
      </c>
      <c r="T112" s="128">
        <v>11</v>
      </c>
      <c r="U112" s="166">
        <f>U113</f>
        <v>2086000000</v>
      </c>
      <c r="V112" s="115"/>
      <c r="W112" s="115"/>
      <c r="X112" s="115"/>
      <c r="Y112" s="115"/>
      <c r="Z112" s="115">
        <v>5</v>
      </c>
      <c r="AA112" s="166">
        <f>AA113</f>
        <v>840599400</v>
      </c>
      <c r="AB112" s="128">
        <v>5</v>
      </c>
      <c r="AC112" s="166">
        <f>AC113</f>
        <v>2051071543</v>
      </c>
      <c r="AD112" s="115">
        <v>8</v>
      </c>
      <c r="AE112" s="166">
        <f>AE113</f>
        <v>1794140700</v>
      </c>
      <c r="AF112" s="115"/>
      <c r="AG112" s="115"/>
      <c r="AH112" s="115"/>
      <c r="AI112" s="115"/>
      <c r="AJ112" s="242">
        <v>1</v>
      </c>
      <c r="AK112" s="238">
        <f t="shared" ref="AK112:AK113" si="22">AA112/Q112*100%</f>
        <v>0.90034011802111402</v>
      </c>
      <c r="AL112" s="549">
        <f t="shared" si="20"/>
        <v>0.45454545454545453</v>
      </c>
      <c r="AM112" s="241">
        <f t="shared" si="11"/>
        <v>0.8436773270963992</v>
      </c>
      <c r="AN112" s="112">
        <f t="shared" si="12"/>
        <v>0.72727272727272729</v>
      </c>
      <c r="AO112" s="112">
        <f t="shared" si="13"/>
        <v>0.86008662511984657</v>
      </c>
      <c r="AP112" s="109" t="s">
        <v>153</v>
      </c>
      <c r="AR112" s="102" t="e">
        <f>#REF!</f>
        <v>#REF!</v>
      </c>
      <c r="AS112" s="167">
        <f>'[14]SPJ FUNGSIONAL '!$O$180</f>
        <v>2272253750</v>
      </c>
      <c r="AT112" s="124" t="e">
        <f>#REF!-AS112</f>
        <v>#REF!</v>
      </c>
    </row>
    <row r="113" spans="1:49" ht="93" customHeight="1">
      <c r="A113" s="136"/>
      <c r="B113" s="136"/>
      <c r="C113" s="160"/>
      <c r="D113" s="160"/>
      <c r="E113" s="161"/>
      <c r="F113" s="162" t="s">
        <v>168</v>
      </c>
      <c r="G113" s="43"/>
      <c r="H113" s="136"/>
      <c r="I113" s="136"/>
      <c r="J113" s="136"/>
      <c r="K113" s="120">
        <f t="shared" ref="K113:K124" si="23">M113+O113+Q113+S113+U113</f>
        <v>5450755500</v>
      </c>
      <c r="L113" s="136"/>
      <c r="M113" s="136"/>
      <c r="N113" s="136"/>
      <c r="O113" s="136"/>
      <c r="P113" s="136"/>
      <c r="Q113" s="135">
        <f>'[13]SPJ FUNGSIONAL '!$O$213</f>
        <v>933646500</v>
      </c>
      <c r="R113" s="136"/>
      <c r="S113" s="135">
        <v>2431109000</v>
      </c>
      <c r="T113" s="136"/>
      <c r="U113" s="135">
        <f>SUM(U114:U124)</f>
        <v>2086000000</v>
      </c>
      <c r="V113" s="136"/>
      <c r="W113" s="136"/>
      <c r="X113" s="136"/>
      <c r="Y113" s="136"/>
      <c r="Z113" s="135"/>
      <c r="AA113" s="135">
        <f>'[13]SPJ FUNGSIONAL '!$Y$213</f>
        <v>840599400</v>
      </c>
      <c r="AB113" s="136"/>
      <c r="AC113" s="534">
        <f>'LRA 2022'!U174</f>
        <v>2051071543</v>
      </c>
      <c r="AD113" s="136"/>
      <c r="AE113" s="534">
        <f>'LRA 2023'!U184</f>
        <v>1794140700</v>
      </c>
      <c r="AF113" s="136"/>
      <c r="AG113" s="136"/>
      <c r="AH113" s="136"/>
      <c r="AI113" s="136"/>
      <c r="AJ113" s="136"/>
      <c r="AK113" s="234">
        <f t="shared" si="22"/>
        <v>0.90034011802111402</v>
      </c>
      <c r="AL113" s="551"/>
      <c r="AM113" s="236">
        <f t="shared" si="11"/>
        <v>0.8436773270963992</v>
      </c>
      <c r="AN113" s="120"/>
      <c r="AO113" s="120">
        <f t="shared" si="13"/>
        <v>0.86008662511984657</v>
      </c>
      <c r="AP113" s="136"/>
      <c r="AR113" s="102"/>
    </row>
    <row r="114" spans="1:49" ht="85.5" customHeight="1">
      <c r="A114" s="136"/>
      <c r="B114" s="136"/>
      <c r="C114" s="160"/>
      <c r="D114" s="160"/>
      <c r="E114" s="161"/>
      <c r="F114" s="168"/>
      <c r="G114" s="43" t="s">
        <v>169</v>
      </c>
      <c r="H114" s="136" t="s">
        <v>557</v>
      </c>
      <c r="I114" s="136"/>
      <c r="J114" s="136" t="s">
        <v>261</v>
      </c>
      <c r="K114" s="120">
        <f t="shared" si="23"/>
        <v>19000000</v>
      </c>
      <c r="L114" s="136"/>
      <c r="M114" s="136"/>
      <c r="N114" s="136"/>
      <c r="O114" s="136"/>
      <c r="P114" s="136" t="s">
        <v>261</v>
      </c>
      <c r="Q114" s="164"/>
      <c r="R114" s="136">
        <v>9</v>
      </c>
      <c r="S114" s="164"/>
      <c r="T114" s="136">
        <v>9</v>
      </c>
      <c r="U114" s="164">
        <v>19000000</v>
      </c>
      <c r="V114" s="136"/>
      <c r="W114" s="136"/>
      <c r="X114" s="136"/>
      <c r="Y114" s="136"/>
      <c r="Z114" s="136">
        <v>9</v>
      </c>
      <c r="AA114" s="164"/>
      <c r="AB114" s="535">
        <v>9</v>
      </c>
      <c r="AC114" s="136"/>
      <c r="AD114" s="136">
        <v>9</v>
      </c>
      <c r="AE114" s="136"/>
      <c r="AF114" s="136"/>
      <c r="AG114" s="136"/>
      <c r="AH114" s="136"/>
      <c r="AI114" s="136"/>
      <c r="AJ114" s="243">
        <v>1</v>
      </c>
      <c r="AK114" s="234"/>
      <c r="AL114" s="551">
        <f>AB114/R114</f>
        <v>1</v>
      </c>
      <c r="AM114" s="236"/>
      <c r="AN114" s="120">
        <f t="shared" si="12"/>
        <v>1</v>
      </c>
      <c r="AO114" s="120">
        <f t="shared" si="13"/>
        <v>0</v>
      </c>
      <c r="AP114" s="136"/>
      <c r="AR114" s="102"/>
      <c r="AS114" s="102">
        <v>3000000</v>
      </c>
      <c r="AT114" s="102">
        <f>2000000*8</f>
        <v>16000000</v>
      </c>
      <c r="AU114" s="141">
        <f>AS114+AT114</f>
        <v>19000000</v>
      </c>
    </row>
    <row r="115" spans="1:49" ht="51.75" customHeight="1">
      <c r="A115" s="136"/>
      <c r="B115" s="136"/>
      <c r="C115" s="160"/>
      <c r="D115" s="160"/>
      <c r="E115" s="161"/>
      <c r="F115" s="169"/>
      <c r="G115" s="43" t="s">
        <v>170</v>
      </c>
      <c r="H115" s="136" t="s">
        <v>557</v>
      </c>
      <c r="I115" s="136"/>
      <c r="J115" s="163" t="s">
        <v>261</v>
      </c>
      <c r="K115" s="120">
        <f t="shared" si="23"/>
        <v>380000000</v>
      </c>
      <c r="L115" s="136"/>
      <c r="M115" s="136"/>
      <c r="N115" s="136"/>
      <c r="O115" s="136"/>
      <c r="P115" s="163" t="s">
        <v>261</v>
      </c>
      <c r="Q115" s="68"/>
      <c r="R115" s="163">
        <v>9</v>
      </c>
      <c r="S115" s="68"/>
      <c r="T115" s="163">
        <v>9</v>
      </c>
      <c r="U115" s="170">
        <v>380000000</v>
      </c>
      <c r="V115" s="136"/>
      <c r="W115" s="136"/>
      <c r="X115" s="136"/>
      <c r="Y115" s="136"/>
      <c r="Z115" s="163">
        <v>9</v>
      </c>
      <c r="AA115" s="68"/>
      <c r="AB115" s="535">
        <v>9</v>
      </c>
      <c r="AC115" s="136"/>
      <c r="AD115" s="136">
        <v>9</v>
      </c>
      <c r="AE115" s="136"/>
      <c r="AF115" s="136"/>
      <c r="AG115" s="136"/>
      <c r="AH115" s="136"/>
      <c r="AI115" s="136"/>
      <c r="AJ115" s="243">
        <v>1</v>
      </c>
      <c r="AK115" s="234"/>
      <c r="AL115" s="551">
        <f>AB115/R115</f>
        <v>1</v>
      </c>
      <c r="AM115" s="236"/>
      <c r="AN115" s="120">
        <f t="shared" si="12"/>
        <v>1</v>
      </c>
      <c r="AO115" s="120">
        <f t="shared" si="13"/>
        <v>0</v>
      </c>
      <c r="AP115" s="136"/>
      <c r="AR115" s="102"/>
      <c r="AT115" s="102">
        <v>60000000</v>
      </c>
      <c r="AU115" s="171">
        <f>40000000*8</f>
        <v>320000000</v>
      </c>
      <c r="AV115" s="141">
        <f>AT115+AU115</f>
        <v>380000000</v>
      </c>
    </row>
    <row r="116" spans="1:49" ht="81" customHeight="1">
      <c r="A116" s="136"/>
      <c r="B116" s="136"/>
      <c r="C116" s="160"/>
      <c r="D116" s="160"/>
      <c r="E116" s="161"/>
      <c r="F116" s="169"/>
      <c r="G116" s="43" t="s">
        <v>171</v>
      </c>
      <c r="H116" s="136" t="s">
        <v>559</v>
      </c>
      <c r="I116" s="136"/>
      <c r="J116" s="163" t="s">
        <v>262</v>
      </c>
      <c r="K116" s="120">
        <f t="shared" si="23"/>
        <v>27000000</v>
      </c>
      <c r="L116" s="136"/>
      <c r="M116" s="136"/>
      <c r="N116" s="136"/>
      <c r="O116" s="136"/>
      <c r="P116" s="163" t="s">
        <v>262</v>
      </c>
      <c r="Q116" s="68"/>
      <c r="R116" s="163">
        <v>4</v>
      </c>
      <c r="S116" s="68"/>
      <c r="T116" s="163">
        <v>4</v>
      </c>
      <c r="U116" s="170">
        <v>27000000</v>
      </c>
      <c r="V116" s="136"/>
      <c r="W116" s="136"/>
      <c r="X116" s="136"/>
      <c r="Y116" s="136"/>
      <c r="Z116" s="163">
        <v>4</v>
      </c>
      <c r="AA116" s="68"/>
      <c r="AB116" s="535">
        <v>4</v>
      </c>
      <c r="AC116" s="136"/>
      <c r="AD116" s="136">
        <v>4</v>
      </c>
      <c r="AE116" s="136"/>
      <c r="AF116" s="136"/>
      <c r="AG116" s="136"/>
      <c r="AH116" s="136"/>
      <c r="AI116" s="136"/>
      <c r="AJ116" s="243">
        <v>1</v>
      </c>
      <c r="AK116" s="234"/>
      <c r="AL116" s="551">
        <f>AB116/R116</f>
        <v>1</v>
      </c>
      <c r="AM116" s="236"/>
      <c r="AN116" s="120">
        <f t="shared" si="12"/>
        <v>1</v>
      </c>
      <c r="AO116" s="120">
        <f t="shared" si="13"/>
        <v>0</v>
      </c>
      <c r="AP116" s="136"/>
      <c r="AR116" s="102"/>
      <c r="AT116" s="102">
        <f>3000000*9</f>
        <v>27000000</v>
      </c>
    </row>
    <row r="117" spans="1:49" ht="105" customHeight="1">
      <c r="A117" s="136"/>
      <c r="B117" s="136"/>
      <c r="C117" s="160"/>
      <c r="D117" s="160"/>
      <c r="E117" s="161"/>
      <c r="F117" s="169"/>
      <c r="G117" s="43" t="s">
        <v>172</v>
      </c>
      <c r="H117" s="136" t="s">
        <v>546</v>
      </c>
      <c r="I117" s="136"/>
      <c r="J117" s="163" t="s">
        <v>263</v>
      </c>
      <c r="K117" s="120">
        <f t="shared" si="23"/>
        <v>640000000</v>
      </c>
      <c r="L117" s="136"/>
      <c r="M117" s="136"/>
      <c r="N117" s="136"/>
      <c r="O117" s="136"/>
      <c r="P117" s="163" t="s">
        <v>263</v>
      </c>
      <c r="Q117" s="68"/>
      <c r="R117" s="163">
        <v>190</v>
      </c>
      <c r="S117" s="68"/>
      <c r="T117" s="163">
        <v>190</v>
      </c>
      <c r="U117" s="170">
        <v>640000000</v>
      </c>
      <c r="V117" s="136"/>
      <c r="W117" s="136"/>
      <c r="X117" s="136"/>
      <c r="Y117" s="136"/>
      <c r="Z117" s="163">
        <v>190</v>
      </c>
      <c r="AA117" s="68"/>
      <c r="AB117" s="535">
        <v>190</v>
      </c>
      <c r="AC117" s="136"/>
      <c r="AD117" s="136">
        <v>190</v>
      </c>
      <c r="AE117" s="136"/>
      <c r="AF117" s="136"/>
      <c r="AG117" s="136"/>
      <c r="AH117" s="136"/>
      <c r="AI117" s="136"/>
      <c r="AJ117" s="243">
        <v>1</v>
      </c>
      <c r="AK117" s="234"/>
      <c r="AL117" s="551">
        <f>AB117/R117</f>
        <v>1</v>
      </c>
      <c r="AM117" s="236"/>
      <c r="AN117" s="120">
        <f t="shared" si="12"/>
        <v>1</v>
      </c>
      <c r="AO117" s="120">
        <f t="shared" si="13"/>
        <v>0</v>
      </c>
      <c r="AP117" s="136"/>
      <c r="AR117" s="102"/>
      <c r="AT117" s="171">
        <f>7000*10000</f>
        <v>70000000</v>
      </c>
      <c r="AU117" s="172">
        <f>250000*12*190</f>
        <v>570000000</v>
      </c>
      <c r="AV117" s="171"/>
      <c r="AW117" s="171">
        <f>AT117+AU117+AV117</f>
        <v>640000000</v>
      </c>
    </row>
    <row r="118" spans="1:49" ht="105" customHeight="1">
      <c r="A118" s="136"/>
      <c r="B118" s="136"/>
      <c r="C118" s="160"/>
      <c r="D118" s="160"/>
      <c r="E118" s="161"/>
      <c r="F118" s="169"/>
      <c r="G118" s="43" t="s">
        <v>173</v>
      </c>
      <c r="H118" s="136" t="s">
        <v>546</v>
      </c>
      <c r="I118" s="136"/>
      <c r="J118" s="163" t="s">
        <v>290</v>
      </c>
      <c r="K118" s="120">
        <f t="shared" si="23"/>
        <v>953000000</v>
      </c>
      <c r="L118" s="136"/>
      <c r="M118" s="136"/>
      <c r="N118" s="136"/>
      <c r="O118" s="136"/>
      <c r="P118" s="163" t="s">
        <v>264</v>
      </c>
      <c r="Q118" s="68"/>
      <c r="R118" s="163">
        <v>285</v>
      </c>
      <c r="S118" s="68"/>
      <c r="T118" s="163">
        <v>290</v>
      </c>
      <c r="U118" s="170">
        <v>953000000</v>
      </c>
      <c r="V118" s="136"/>
      <c r="W118" s="136"/>
      <c r="X118" s="136"/>
      <c r="Y118" s="136"/>
      <c r="Z118" s="163">
        <v>282</v>
      </c>
      <c r="AA118" s="68"/>
      <c r="AB118" s="535">
        <v>285</v>
      </c>
      <c r="AC118" s="136"/>
      <c r="AD118" s="136">
        <v>281</v>
      </c>
      <c r="AE118" s="136"/>
      <c r="AF118" s="136"/>
      <c r="AG118" s="136"/>
      <c r="AH118" s="136"/>
      <c r="AI118" s="136"/>
      <c r="AJ118" s="243">
        <v>1</v>
      </c>
      <c r="AK118" s="234"/>
      <c r="AL118" s="551">
        <f>AB118/R118</f>
        <v>1</v>
      </c>
      <c r="AM118" s="236"/>
      <c r="AN118" s="120">
        <f t="shared" si="12"/>
        <v>0.96896551724137936</v>
      </c>
      <c r="AO118" s="120">
        <f t="shared" si="13"/>
        <v>0</v>
      </c>
      <c r="AP118" s="136"/>
      <c r="AR118" s="102"/>
      <c r="AU118" s="172">
        <f>250000*12*300</f>
        <v>900000000</v>
      </c>
      <c r="AV118" s="172">
        <f>106*250000*2</f>
        <v>53000000</v>
      </c>
      <c r="AW118" s="124">
        <f>AU118+AV118</f>
        <v>953000000</v>
      </c>
    </row>
    <row r="119" spans="1:49" ht="112.5" customHeight="1">
      <c r="A119" s="136"/>
      <c r="B119" s="136"/>
      <c r="C119" s="160"/>
      <c r="D119" s="160"/>
      <c r="E119" s="161"/>
      <c r="F119" s="169"/>
      <c r="G119" s="43" t="s">
        <v>174</v>
      </c>
      <c r="H119" s="163" t="s">
        <v>560</v>
      </c>
      <c r="I119" s="136"/>
      <c r="J119" s="163" t="s">
        <v>265</v>
      </c>
      <c r="K119" s="120">
        <f t="shared" si="23"/>
        <v>20000000</v>
      </c>
      <c r="L119" s="136"/>
      <c r="M119" s="136"/>
      <c r="N119" s="136"/>
      <c r="O119" s="136"/>
      <c r="P119" s="163" t="s">
        <v>265</v>
      </c>
      <c r="Q119" s="173"/>
      <c r="R119" s="163" t="s">
        <v>567</v>
      </c>
      <c r="S119" s="173"/>
      <c r="T119" s="163" t="s">
        <v>576</v>
      </c>
      <c r="U119" s="173">
        <v>20000000</v>
      </c>
      <c r="V119" s="136"/>
      <c r="W119" s="136"/>
      <c r="X119" s="136"/>
      <c r="Y119" s="136"/>
      <c r="Z119" s="173">
        <v>0</v>
      </c>
      <c r="AA119" s="173">
        <v>0</v>
      </c>
      <c r="AB119" s="535">
        <v>0</v>
      </c>
      <c r="AC119" s="136">
        <v>0</v>
      </c>
      <c r="AD119" s="136">
        <v>0</v>
      </c>
      <c r="AE119" s="136"/>
      <c r="AF119" s="136"/>
      <c r="AG119" s="136"/>
      <c r="AH119" s="136"/>
      <c r="AI119" s="136"/>
      <c r="AJ119" s="136"/>
      <c r="AK119" s="234"/>
      <c r="AL119" s="551"/>
      <c r="AM119" s="236"/>
      <c r="AN119" s="120"/>
      <c r="AO119" s="120">
        <f t="shared" si="13"/>
        <v>0</v>
      </c>
      <c r="AP119" s="136"/>
      <c r="AR119" s="102"/>
    </row>
    <row r="120" spans="1:49" ht="84" customHeight="1">
      <c r="A120" s="136"/>
      <c r="B120" s="136"/>
      <c r="C120" s="160"/>
      <c r="D120" s="160"/>
      <c r="E120" s="161"/>
      <c r="F120" s="169"/>
      <c r="G120" s="43" t="s">
        <v>175</v>
      </c>
      <c r="H120" s="136" t="s">
        <v>559</v>
      </c>
      <c r="I120" s="136"/>
      <c r="J120" s="136" t="s">
        <v>266</v>
      </c>
      <c r="K120" s="120">
        <f t="shared" si="23"/>
        <v>0</v>
      </c>
      <c r="L120" s="136"/>
      <c r="M120" s="136"/>
      <c r="N120" s="136"/>
      <c r="O120" s="136"/>
      <c r="P120" s="136" t="s">
        <v>266</v>
      </c>
      <c r="Q120" s="173"/>
      <c r="R120" s="136">
        <v>3</v>
      </c>
      <c r="S120" s="173"/>
      <c r="T120" s="136">
        <v>3</v>
      </c>
      <c r="U120" s="173">
        <v>0</v>
      </c>
      <c r="V120" s="136"/>
      <c r="W120" s="136"/>
      <c r="X120" s="136"/>
      <c r="Y120" s="136"/>
      <c r="Z120" s="68">
        <v>0</v>
      </c>
      <c r="AA120" s="173">
        <v>0</v>
      </c>
      <c r="AB120" s="535">
        <v>3</v>
      </c>
      <c r="AC120" s="136">
        <v>0</v>
      </c>
      <c r="AD120" s="136">
        <v>0</v>
      </c>
      <c r="AE120" s="136"/>
      <c r="AF120" s="136"/>
      <c r="AG120" s="136"/>
      <c r="AH120" s="136"/>
      <c r="AI120" s="136"/>
      <c r="AJ120" s="136"/>
      <c r="AK120" s="234"/>
      <c r="AL120" s="551">
        <f t="shared" ref="AL120:AL124" si="24">AB120/R120</f>
        <v>1</v>
      </c>
      <c r="AM120" s="236"/>
      <c r="AN120" s="120">
        <f t="shared" si="12"/>
        <v>0</v>
      </c>
      <c r="AO120" s="120"/>
      <c r="AP120" s="136"/>
      <c r="AR120" s="102"/>
    </row>
    <row r="121" spans="1:49" ht="43.5">
      <c r="A121" s="136"/>
      <c r="B121" s="136"/>
      <c r="C121" s="160"/>
      <c r="D121" s="160"/>
      <c r="E121" s="161"/>
      <c r="F121" s="174"/>
      <c r="G121" s="43" t="s">
        <v>176</v>
      </c>
      <c r="H121" s="136" t="s">
        <v>558</v>
      </c>
      <c r="I121" s="136"/>
      <c r="J121" s="163" t="s">
        <v>267</v>
      </c>
      <c r="K121" s="120">
        <f t="shared" si="23"/>
        <v>0</v>
      </c>
      <c r="L121" s="136"/>
      <c r="M121" s="136"/>
      <c r="N121" s="136"/>
      <c r="O121" s="136"/>
      <c r="P121" s="163" t="s">
        <v>267</v>
      </c>
      <c r="Q121" s="68"/>
      <c r="R121" s="163">
        <v>3</v>
      </c>
      <c r="S121" s="68"/>
      <c r="T121" s="163">
        <v>3</v>
      </c>
      <c r="U121" s="68">
        <v>0</v>
      </c>
      <c r="V121" s="136"/>
      <c r="W121" s="136"/>
      <c r="X121" s="136"/>
      <c r="Y121" s="136"/>
      <c r="Z121" s="68">
        <v>0</v>
      </c>
      <c r="AA121" s="68">
        <v>0</v>
      </c>
      <c r="AB121" s="535">
        <v>0</v>
      </c>
      <c r="AC121" s="136"/>
      <c r="AD121" s="136">
        <v>0</v>
      </c>
      <c r="AE121" s="136"/>
      <c r="AF121" s="136"/>
      <c r="AG121" s="136"/>
      <c r="AH121" s="136"/>
      <c r="AI121" s="136"/>
      <c r="AJ121" s="136"/>
      <c r="AK121" s="234"/>
      <c r="AL121" s="551">
        <f t="shared" si="24"/>
        <v>0</v>
      </c>
      <c r="AM121" s="236"/>
      <c r="AN121" s="120">
        <f t="shared" si="12"/>
        <v>0</v>
      </c>
      <c r="AO121" s="120"/>
      <c r="AP121" s="136"/>
      <c r="AR121" s="102"/>
    </row>
    <row r="122" spans="1:49" ht="68.25" customHeight="1">
      <c r="A122" s="117"/>
      <c r="B122" s="117"/>
      <c r="C122" s="175"/>
      <c r="D122" s="175"/>
      <c r="E122" s="176"/>
      <c r="F122" s="162"/>
      <c r="G122" s="43" t="s">
        <v>177</v>
      </c>
      <c r="H122" s="136" t="s">
        <v>557</v>
      </c>
      <c r="I122" s="117"/>
      <c r="J122" s="43" t="s">
        <v>261</v>
      </c>
      <c r="K122" s="120">
        <f t="shared" si="23"/>
        <v>27000000</v>
      </c>
      <c r="L122" s="117"/>
      <c r="M122" s="117"/>
      <c r="N122" s="117"/>
      <c r="O122" s="117"/>
      <c r="P122" s="117">
        <v>0</v>
      </c>
      <c r="Q122" s="170"/>
      <c r="R122" s="43">
        <v>9</v>
      </c>
      <c r="S122" s="170"/>
      <c r="T122" s="43">
        <v>9</v>
      </c>
      <c r="U122" s="170">
        <v>27000000</v>
      </c>
      <c r="V122" s="117"/>
      <c r="W122" s="117"/>
      <c r="X122" s="117"/>
      <c r="Y122" s="117"/>
      <c r="Z122" s="170"/>
      <c r="AA122" s="170"/>
      <c r="AB122" s="536">
        <v>9</v>
      </c>
      <c r="AC122" s="117"/>
      <c r="AD122" s="117">
        <v>9</v>
      </c>
      <c r="AE122" s="117"/>
      <c r="AF122" s="117"/>
      <c r="AG122" s="117"/>
      <c r="AH122" s="117"/>
      <c r="AI122" s="117"/>
      <c r="AJ122" s="117"/>
      <c r="AK122" s="234"/>
      <c r="AL122" s="551">
        <f t="shared" si="24"/>
        <v>1</v>
      </c>
      <c r="AM122" s="236"/>
      <c r="AN122" s="120">
        <f t="shared" si="12"/>
        <v>1</v>
      </c>
      <c r="AO122" s="120">
        <f t="shared" si="13"/>
        <v>0</v>
      </c>
      <c r="AP122" s="136"/>
      <c r="AR122" s="102"/>
      <c r="AT122" s="102">
        <f>3000000*9</f>
        <v>27000000</v>
      </c>
    </row>
    <row r="123" spans="1:49" ht="55.5" customHeight="1">
      <c r="A123" s="117"/>
      <c r="B123" s="117"/>
      <c r="C123" s="175"/>
      <c r="D123" s="175"/>
      <c r="E123" s="176"/>
      <c r="F123" s="162"/>
      <c r="G123" s="43" t="s">
        <v>178</v>
      </c>
      <c r="H123" s="136" t="s">
        <v>557</v>
      </c>
      <c r="I123" s="117"/>
      <c r="J123" s="43" t="s">
        <v>291</v>
      </c>
      <c r="K123" s="120">
        <f t="shared" si="23"/>
        <v>10000000</v>
      </c>
      <c r="L123" s="117"/>
      <c r="M123" s="117"/>
      <c r="N123" s="117"/>
      <c r="O123" s="117"/>
      <c r="P123" s="117">
        <v>0</v>
      </c>
      <c r="Q123" s="170"/>
      <c r="R123" s="43">
        <v>1</v>
      </c>
      <c r="S123" s="170"/>
      <c r="T123" s="43">
        <v>1</v>
      </c>
      <c r="U123" s="170">
        <v>10000000</v>
      </c>
      <c r="V123" s="117"/>
      <c r="W123" s="117"/>
      <c r="X123" s="117"/>
      <c r="Y123" s="117"/>
      <c r="Z123" s="170"/>
      <c r="AA123" s="170"/>
      <c r="AB123" s="536">
        <v>1</v>
      </c>
      <c r="AC123" s="117"/>
      <c r="AD123" s="117">
        <v>1</v>
      </c>
      <c r="AE123" s="117"/>
      <c r="AF123" s="117"/>
      <c r="AG123" s="117"/>
      <c r="AH123" s="117"/>
      <c r="AI123" s="117"/>
      <c r="AJ123" s="117"/>
      <c r="AK123" s="234"/>
      <c r="AL123" s="551">
        <f t="shared" si="24"/>
        <v>1</v>
      </c>
      <c r="AM123" s="236"/>
      <c r="AN123" s="120">
        <f t="shared" si="12"/>
        <v>1</v>
      </c>
      <c r="AO123" s="120">
        <f t="shared" si="13"/>
        <v>0</v>
      </c>
      <c r="AP123" s="136"/>
      <c r="AR123" s="102"/>
    </row>
    <row r="124" spans="1:49" ht="55.5" customHeight="1">
      <c r="A124" s="117"/>
      <c r="B124" s="117"/>
      <c r="C124" s="175"/>
      <c r="D124" s="175"/>
      <c r="E124" s="176"/>
      <c r="F124" s="162"/>
      <c r="G124" s="43" t="s">
        <v>179</v>
      </c>
      <c r="H124" s="136" t="s">
        <v>557</v>
      </c>
      <c r="I124" s="117"/>
      <c r="J124" s="43" t="s">
        <v>291</v>
      </c>
      <c r="K124" s="120">
        <f t="shared" si="23"/>
        <v>10000000</v>
      </c>
      <c r="L124" s="117"/>
      <c r="M124" s="117"/>
      <c r="N124" s="117"/>
      <c r="O124" s="117"/>
      <c r="P124" s="117">
        <v>0</v>
      </c>
      <c r="Q124" s="170"/>
      <c r="R124" s="43">
        <v>1</v>
      </c>
      <c r="S124" s="170"/>
      <c r="T124" s="43">
        <v>1</v>
      </c>
      <c r="U124" s="170">
        <v>10000000</v>
      </c>
      <c r="V124" s="117"/>
      <c r="W124" s="117"/>
      <c r="X124" s="117"/>
      <c r="Y124" s="117"/>
      <c r="Z124" s="170"/>
      <c r="AA124" s="170"/>
      <c r="AB124" s="536">
        <v>1</v>
      </c>
      <c r="AC124" s="117"/>
      <c r="AD124" s="117">
        <v>1</v>
      </c>
      <c r="AE124" s="117"/>
      <c r="AF124" s="117"/>
      <c r="AG124" s="117"/>
      <c r="AH124" s="117"/>
      <c r="AI124" s="117"/>
      <c r="AJ124" s="117"/>
      <c r="AK124" s="234"/>
      <c r="AL124" s="551">
        <f t="shared" si="24"/>
        <v>1</v>
      </c>
      <c r="AM124" s="236"/>
      <c r="AN124" s="120">
        <f t="shared" si="12"/>
        <v>1</v>
      </c>
      <c r="AO124" s="120">
        <f t="shared" si="13"/>
        <v>0</v>
      </c>
      <c r="AP124" s="136"/>
      <c r="AR124" s="102"/>
    </row>
    <row r="125" spans="1:49" ht="297.75" customHeight="1">
      <c r="A125" s="95"/>
      <c r="B125" s="95"/>
      <c r="C125" s="177">
        <v>3</v>
      </c>
      <c r="D125" s="177"/>
      <c r="E125" s="178"/>
      <c r="F125" s="155" t="s">
        <v>180</v>
      </c>
      <c r="G125" s="97" t="s">
        <v>65</v>
      </c>
      <c r="H125" s="156" t="s">
        <v>545</v>
      </c>
      <c r="I125" s="156"/>
      <c r="J125" s="215">
        <v>0.2235</v>
      </c>
      <c r="K125" s="99">
        <f>K126+K128+K138</f>
        <v>9495699750</v>
      </c>
      <c r="L125" s="156"/>
      <c r="M125" s="156"/>
      <c r="N125" s="156"/>
      <c r="O125" s="156"/>
      <c r="P125" s="214">
        <v>0.21779999999999999</v>
      </c>
      <c r="Q125" s="99">
        <f>Q126+Q128+Q138</f>
        <v>3925914850</v>
      </c>
      <c r="R125" s="215">
        <v>0.22170000000000001</v>
      </c>
      <c r="S125" s="99">
        <f>S126+S128+S138</f>
        <v>2985951150</v>
      </c>
      <c r="T125" s="215">
        <v>0.24</v>
      </c>
      <c r="U125" s="99">
        <f>U126+U128+U138</f>
        <v>2583833750</v>
      </c>
      <c r="V125" s="156"/>
      <c r="W125" s="156"/>
      <c r="X125" s="156"/>
      <c r="Y125" s="156"/>
      <c r="Z125" s="100">
        <v>0.25169999999999998</v>
      </c>
      <c r="AA125" s="99">
        <f>AA126+AA128+AA138</f>
        <v>3764708125</v>
      </c>
      <c r="AB125" s="564">
        <v>0.3997</v>
      </c>
      <c r="AC125" s="99">
        <f>AC126+AC128+AC138</f>
        <v>2752234381</v>
      </c>
      <c r="AD125" s="100">
        <v>0.3997</v>
      </c>
      <c r="AE125" s="99">
        <f>AE126+AE128+AE138</f>
        <v>2822570650</v>
      </c>
      <c r="AF125" s="156"/>
      <c r="AG125" s="156"/>
      <c r="AH125" s="156"/>
      <c r="AI125" s="156"/>
      <c r="AJ125" s="231">
        <f>Z125/P125</f>
        <v>1.1556473829201102</v>
      </c>
      <c r="AK125" s="232">
        <f>AA125/Q125*100%</f>
        <v>0.95893779382403055</v>
      </c>
      <c r="AL125" s="100">
        <v>0.3997</v>
      </c>
      <c r="AM125" s="232">
        <f t="shared" si="11"/>
        <v>0.92172786584268129</v>
      </c>
      <c r="AN125" s="98">
        <f t="shared" si="12"/>
        <v>1.6654166666666668</v>
      </c>
      <c r="AO125" s="98">
        <f t="shared" si="13"/>
        <v>1.0923963857968804</v>
      </c>
      <c r="AP125" s="95" t="s">
        <v>153</v>
      </c>
      <c r="AQ125" s="558" t="s">
        <v>568</v>
      </c>
      <c r="AR125" s="102"/>
      <c r="AT125" s="104">
        <f>'[13]SPJ FUNGSIONAL '!$Y$239</f>
        <v>3764708125</v>
      </c>
      <c r="AU125" s="171" t="e">
        <f>AT125-#REF!</f>
        <v>#REF!</v>
      </c>
    </row>
    <row r="126" spans="1:49" ht="89.25" customHeight="1">
      <c r="A126" s="109"/>
      <c r="B126" s="109"/>
      <c r="C126" s="157"/>
      <c r="D126" s="157"/>
      <c r="E126" s="158"/>
      <c r="F126" s="159" t="s">
        <v>181</v>
      </c>
      <c r="G126" s="128" t="s">
        <v>182</v>
      </c>
      <c r="H126" s="115" t="s">
        <v>559</v>
      </c>
      <c r="I126" s="115"/>
      <c r="J126" s="115" t="s">
        <v>185</v>
      </c>
      <c r="K126" s="114">
        <f>K127</f>
        <v>83162450</v>
      </c>
      <c r="L126" s="115"/>
      <c r="M126" s="115"/>
      <c r="N126" s="115"/>
      <c r="O126" s="115"/>
      <c r="P126" s="115" t="s">
        <v>185</v>
      </c>
      <c r="Q126" s="114">
        <f>Q127</f>
        <v>83162450</v>
      </c>
      <c r="R126" s="109">
        <v>0</v>
      </c>
      <c r="S126" s="114">
        <f>S127</f>
        <v>0</v>
      </c>
      <c r="T126" s="109">
        <v>0</v>
      </c>
      <c r="U126" s="114">
        <f>U127</f>
        <v>0</v>
      </c>
      <c r="V126" s="115"/>
      <c r="W126" s="115"/>
      <c r="X126" s="115"/>
      <c r="Y126" s="115"/>
      <c r="Z126" s="115">
        <v>8</v>
      </c>
      <c r="AA126" s="114">
        <f>AA127</f>
        <v>72945600</v>
      </c>
      <c r="AB126" s="115">
        <v>0</v>
      </c>
      <c r="AC126" s="114">
        <f>AC127</f>
        <v>0</v>
      </c>
      <c r="AD126" s="115"/>
      <c r="AE126" s="114">
        <f>AE127</f>
        <v>0</v>
      </c>
      <c r="AF126" s="115"/>
      <c r="AG126" s="115"/>
      <c r="AH126" s="115"/>
      <c r="AI126" s="115"/>
      <c r="AJ126" s="242">
        <v>1</v>
      </c>
      <c r="AK126" s="238">
        <f t="shared" ref="AK126:AK127" si="25">AA126/Q126*100%</f>
        <v>0.87714587533195576</v>
      </c>
      <c r="AL126" s="556"/>
      <c r="AM126" s="241"/>
      <c r="AN126" s="112"/>
      <c r="AO126" s="112"/>
      <c r="AP126" s="109" t="s">
        <v>153</v>
      </c>
      <c r="AR126" s="102"/>
    </row>
    <row r="127" spans="1:49" ht="129" customHeight="1">
      <c r="A127" s="136"/>
      <c r="B127" s="136"/>
      <c r="C127" s="160"/>
      <c r="D127" s="160"/>
      <c r="E127" s="161"/>
      <c r="F127" s="162" t="s">
        <v>183</v>
      </c>
      <c r="G127" s="43" t="s">
        <v>184</v>
      </c>
      <c r="H127" s="136" t="s">
        <v>559</v>
      </c>
      <c r="I127" s="136"/>
      <c r="J127" s="136" t="s">
        <v>185</v>
      </c>
      <c r="K127" s="120">
        <f>M127+O127+Q127+S127+U127</f>
        <v>83162450</v>
      </c>
      <c r="L127" s="136"/>
      <c r="M127" s="136"/>
      <c r="N127" s="136"/>
      <c r="O127" s="136"/>
      <c r="P127" s="136" t="s">
        <v>185</v>
      </c>
      <c r="Q127" s="137">
        <f>'[13]SPJ FUNGSIONAL '!$O$243</f>
        <v>83162450</v>
      </c>
      <c r="R127" s="136">
        <v>0</v>
      </c>
      <c r="S127" s="139">
        <v>0</v>
      </c>
      <c r="T127" s="136">
        <v>0</v>
      </c>
      <c r="U127" s="139">
        <v>0</v>
      </c>
      <c r="V127" s="136"/>
      <c r="W127" s="136"/>
      <c r="X127" s="136"/>
      <c r="Y127" s="136"/>
      <c r="Z127" s="136" t="s">
        <v>185</v>
      </c>
      <c r="AA127" s="137">
        <f>'[13]SPJ FUNGSIONAL '!$Y$243</f>
        <v>72945600</v>
      </c>
      <c r="AB127" s="136">
        <v>0</v>
      </c>
      <c r="AC127" s="136">
        <v>0</v>
      </c>
      <c r="AD127" s="136"/>
      <c r="AE127" s="136">
        <v>0</v>
      </c>
      <c r="AF127" s="136"/>
      <c r="AG127" s="136"/>
      <c r="AH127" s="136"/>
      <c r="AI127" s="136"/>
      <c r="AJ127" s="243">
        <v>1</v>
      </c>
      <c r="AK127" s="234">
        <f t="shared" si="25"/>
        <v>0.87714587533195576</v>
      </c>
      <c r="AL127" s="551"/>
      <c r="AM127" s="236"/>
      <c r="AN127" s="120"/>
      <c r="AO127" s="120"/>
      <c r="AP127" s="136"/>
      <c r="AR127" s="102"/>
      <c r="AS127" s="179" t="e">
        <f>#REF!+#REF!</f>
        <v>#REF!</v>
      </c>
    </row>
    <row r="128" spans="1:49" ht="93" customHeight="1">
      <c r="A128" s="109"/>
      <c r="B128" s="109"/>
      <c r="C128" s="157"/>
      <c r="D128" s="157"/>
      <c r="E128" s="158"/>
      <c r="F128" s="159" t="s">
        <v>186</v>
      </c>
      <c r="G128" s="128" t="s">
        <v>187</v>
      </c>
      <c r="H128" s="115" t="s">
        <v>548</v>
      </c>
      <c r="I128" s="115"/>
      <c r="J128" s="109" t="s">
        <v>292</v>
      </c>
      <c r="K128" s="180">
        <f>K129+K130+K131</f>
        <v>2782773800</v>
      </c>
      <c r="L128" s="115"/>
      <c r="M128" s="115"/>
      <c r="N128" s="115"/>
      <c r="O128" s="115"/>
      <c r="P128" s="128" t="s">
        <v>268</v>
      </c>
      <c r="Q128" s="180">
        <f>Q129+Q130+Q131</f>
        <v>1563387900</v>
      </c>
      <c r="R128" s="109">
        <v>8</v>
      </c>
      <c r="S128" s="180">
        <f>S129+S130+S131</f>
        <v>797952150</v>
      </c>
      <c r="T128" s="109">
        <v>8</v>
      </c>
      <c r="U128" s="180">
        <f>U129+U130+U131</f>
        <v>421433750</v>
      </c>
      <c r="V128" s="115"/>
      <c r="W128" s="115"/>
      <c r="X128" s="115"/>
      <c r="Y128" s="115"/>
      <c r="Z128" s="128">
        <v>7</v>
      </c>
      <c r="AA128" s="180">
        <f>AA129+AA130+AA131</f>
        <v>1437710500</v>
      </c>
      <c r="AB128" s="115">
        <v>6</v>
      </c>
      <c r="AC128" s="180">
        <f>AC129+AC130+AC131</f>
        <v>589295381</v>
      </c>
      <c r="AD128" s="115">
        <v>2</v>
      </c>
      <c r="AE128" s="180">
        <f>AE129+AE130+AE131</f>
        <v>556099250</v>
      </c>
      <c r="AF128" s="115"/>
      <c r="AG128" s="115"/>
      <c r="AH128" s="115"/>
      <c r="AI128" s="115"/>
      <c r="AJ128" s="242">
        <v>1</v>
      </c>
      <c r="AK128" s="238">
        <f>AA128/Q128*100%</f>
        <v>0.91961214488099852</v>
      </c>
      <c r="AL128" s="556">
        <f>AB128/R128</f>
        <v>0.75</v>
      </c>
      <c r="AM128" s="241">
        <f t="shared" si="11"/>
        <v>0.73850967254114175</v>
      </c>
      <c r="AN128" s="112">
        <f t="shared" si="12"/>
        <v>0.25</v>
      </c>
      <c r="AO128" s="112">
        <f t="shared" si="13"/>
        <v>1.319541327670126</v>
      </c>
      <c r="AP128" s="109" t="s">
        <v>153</v>
      </c>
      <c r="AR128" s="102" t="e">
        <f>#REF!</f>
        <v>#REF!</v>
      </c>
    </row>
    <row r="129" spans="1:49" ht="137.25" customHeight="1">
      <c r="A129" s="136"/>
      <c r="B129" s="136"/>
      <c r="C129" s="160"/>
      <c r="D129" s="160"/>
      <c r="E129" s="161"/>
      <c r="F129" s="162" t="s">
        <v>188</v>
      </c>
      <c r="G129" s="43" t="s">
        <v>189</v>
      </c>
      <c r="H129" s="136" t="s">
        <v>559</v>
      </c>
      <c r="I129" s="136"/>
      <c r="J129" s="136" t="s">
        <v>293</v>
      </c>
      <c r="K129" s="120">
        <f t="shared" ref="K129:K137" si="26">M129+O129+Q129+S129+U129</f>
        <v>336347800</v>
      </c>
      <c r="L129" s="136"/>
      <c r="M129" s="136"/>
      <c r="N129" s="136"/>
      <c r="O129" s="136"/>
      <c r="P129" s="136" t="s">
        <v>269</v>
      </c>
      <c r="Q129" s="137">
        <f>'[13]SPJ FUNGSIONAL '!$O$261</f>
        <v>38937400</v>
      </c>
      <c r="R129" s="136">
        <v>9</v>
      </c>
      <c r="S129" s="137">
        <v>187410400</v>
      </c>
      <c r="T129" s="136">
        <v>9</v>
      </c>
      <c r="U129" s="137">
        <v>110000000</v>
      </c>
      <c r="V129" s="136"/>
      <c r="W129" s="136"/>
      <c r="X129" s="136"/>
      <c r="Y129" s="136"/>
      <c r="Z129" s="136">
        <v>1</v>
      </c>
      <c r="AA129" s="137">
        <f>'[13]SPJ FUNGSIONAL '!$Y$261</f>
        <v>35275400</v>
      </c>
      <c r="AB129" s="136">
        <v>9</v>
      </c>
      <c r="AC129" s="542">
        <f>'LRA 2022'!U211</f>
        <v>116699400</v>
      </c>
      <c r="AD129" s="136">
        <v>9</v>
      </c>
      <c r="AE129" s="542">
        <f>'LRA 2023'!U217</f>
        <v>93356150</v>
      </c>
      <c r="AF129" s="136"/>
      <c r="AG129" s="136"/>
      <c r="AH129" s="136"/>
      <c r="AI129" s="136"/>
      <c r="AJ129" s="243">
        <v>1</v>
      </c>
      <c r="AK129" s="234">
        <f>AA129/Q129*100%</f>
        <v>0.90595160437009148</v>
      </c>
      <c r="AL129" s="551">
        <f>AB129/R129</f>
        <v>1</v>
      </c>
      <c r="AM129" s="236">
        <f t="shared" si="11"/>
        <v>0.62269436488049756</v>
      </c>
      <c r="AN129" s="120">
        <f t="shared" si="12"/>
        <v>1</v>
      </c>
      <c r="AO129" s="120">
        <f t="shared" si="13"/>
        <v>0.84869227272727277</v>
      </c>
      <c r="AP129" s="136"/>
      <c r="AR129" s="102"/>
      <c r="AT129" s="179" t="e">
        <f>#REF!+#REF!</f>
        <v>#REF!</v>
      </c>
    </row>
    <row r="130" spans="1:49" ht="110.25" customHeight="1">
      <c r="A130" s="136"/>
      <c r="B130" s="136"/>
      <c r="C130" s="160"/>
      <c r="D130" s="160"/>
      <c r="E130" s="161"/>
      <c r="F130" s="162" t="s">
        <v>190</v>
      </c>
      <c r="G130" s="43" t="s">
        <v>191</v>
      </c>
      <c r="H130" s="136" t="s">
        <v>559</v>
      </c>
      <c r="I130" s="136"/>
      <c r="J130" s="136" t="s">
        <v>185</v>
      </c>
      <c r="K130" s="120">
        <f t="shared" si="26"/>
        <v>118233850</v>
      </c>
      <c r="L130" s="136"/>
      <c r="M130" s="136"/>
      <c r="N130" s="136"/>
      <c r="O130" s="136"/>
      <c r="P130" s="136" t="s">
        <v>269</v>
      </c>
      <c r="Q130" s="164">
        <f>'[13]SPJ FUNGSIONAL '!$O$277</f>
        <v>28233850</v>
      </c>
      <c r="R130" s="136">
        <v>8</v>
      </c>
      <c r="S130" s="164">
        <v>20000000</v>
      </c>
      <c r="T130" s="136">
        <v>8</v>
      </c>
      <c r="U130" s="139">
        <f>100000000-30000000</f>
        <v>70000000</v>
      </c>
      <c r="V130" s="136"/>
      <c r="W130" s="136"/>
      <c r="X130" s="136"/>
      <c r="Y130" s="136"/>
      <c r="Z130" s="136">
        <v>1</v>
      </c>
      <c r="AA130" s="164">
        <f>'[13]SPJ FUNGSIONAL '!$Y$277</f>
        <v>28135000</v>
      </c>
      <c r="AB130" s="136">
        <v>0</v>
      </c>
      <c r="AC130" s="136">
        <v>0</v>
      </c>
      <c r="AD130" s="136">
        <v>0</v>
      </c>
      <c r="AE130" s="136">
        <v>0</v>
      </c>
      <c r="AF130" s="136"/>
      <c r="AG130" s="136"/>
      <c r="AH130" s="136"/>
      <c r="AI130" s="136"/>
      <c r="AJ130" s="243">
        <v>1</v>
      </c>
      <c r="AK130" s="234">
        <f>AA130/Q130*100%</f>
        <v>0.9964988834324755</v>
      </c>
      <c r="AL130" s="551">
        <f>AB130/R130</f>
        <v>0</v>
      </c>
      <c r="AM130" s="236">
        <f t="shared" si="11"/>
        <v>0</v>
      </c>
      <c r="AN130" s="120">
        <f t="shared" si="12"/>
        <v>0</v>
      </c>
      <c r="AO130" s="120">
        <f t="shared" si="13"/>
        <v>0</v>
      </c>
      <c r="AP130" s="136"/>
      <c r="AR130" s="102"/>
      <c r="AT130" s="102"/>
    </row>
    <row r="131" spans="1:49" ht="70.5" customHeight="1">
      <c r="A131" s="136"/>
      <c r="B131" s="136"/>
      <c r="C131" s="160"/>
      <c r="D131" s="160"/>
      <c r="E131" s="161"/>
      <c r="F131" s="162" t="s">
        <v>92</v>
      </c>
      <c r="G131" s="43"/>
      <c r="H131" s="136"/>
      <c r="I131" s="136"/>
      <c r="J131" s="136"/>
      <c r="K131" s="120">
        <f t="shared" si="26"/>
        <v>2328192150</v>
      </c>
      <c r="L131" s="136"/>
      <c r="M131" s="136"/>
      <c r="N131" s="136"/>
      <c r="O131" s="136"/>
      <c r="P131" s="181"/>
      <c r="Q131" s="139">
        <f>'[13]SPJ FUNGSIONAL '!$O$289</f>
        <v>1496216650</v>
      </c>
      <c r="R131" s="181"/>
      <c r="S131" s="135">
        <v>590541750</v>
      </c>
      <c r="T131" s="181"/>
      <c r="U131" s="135">
        <f>SUM(U132:U137)</f>
        <v>241433750</v>
      </c>
      <c r="V131" s="136"/>
      <c r="W131" s="136"/>
      <c r="X131" s="136"/>
      <c r="Y131" s="136"/>
      <c r="Z131" s="139"/>
      <c r="AA131" s="139">
        <v>1374300100</v>
      </c>
      <c r="AB131" s="136"/>
      <c r="AC131" s="541">
        <f>'LRA 2022'!U229</f>
        <v>472595981</v>
      </c>
      <c r="AD131" s="136"/>
      <c r="AE131" s="541">
        <f>'LRA 2023'!U233</f>
        <v>462743100</v>
      </c>
      <c r="AF131" s="136"/>
      <c r="AG131" s="136"/>
      <c r="AH131" s="136"/>
      <c r="AI131" s="136"/>
      <c r="AJ131" s="243">
        <v>1</v>
      </c>
      <c r="AK131" s="234">
        <f>AA131/Q131*100%</f>
        <v>0.91851678030718342</v>
      </c>
      <c r="AL131" s="551"/>
      <c r="AM131" s="236">
        <f t="shared" si="11"/>
        <v>0.80027530822333903</v>
      </c>
      <c r="AN131" s="120"/>
      <c r="AO131" s="120">
        <f t="shared" si="13"/>
        <v>1.916646284953947</v>
      </c>
      <c r="AP131" s="136"/>
      <c r="AR131" s="102"/>
      <c r="AT131" s="124"/>
    </row>
    <row r="132" spans="1:49" ht="67.5" customHeight="1">
      <c r="A132" s="136"/>
      <c r="B132" s="136"/>
      <c r="C132" s="160"/>
      <c r="D132" s="160"/>
      <c r="E132" s="161"/>
      <c r="F132" s="162"/>
      <c r="G132" s="43" t="s">
        <v>192</v>
      </c>
      <c r="H132" s="136" t="s">
        <v>546</v>
      </c>
      <c r="I132" s="136"/>
      <c r="J132" s="182" t="s">
        <v>294</v>
      </c>
      <c r="K132" s="120">
        <f t="shared" si="26"/>
        <v>73433750</v>
      </c>
      <c r="L132" s="136"/>
      <c r="M132" s="136"/>
      <c r="N132" s="136"/>
      <c r="O132" s="136"/>
      <c r="P132" s="163" t="s">
        <v>270</v>
      </c>
      <c r="Q132" s="164"/>
      <c r="R132" s="182">
        <v>200</v>
      </c>
      <c r="S132" s="164"/>
      <c r="T132" s="182">
        <v>250</v>
      </c>
      <c r="U132" s="164">
        <f>100000000-26566250</f>
        <v>73433750</v>
      </c>
      <c r="V132" s="136"/>
      <c r="W132" s="136"/>
      <c r="X132" s="136"/>
      <c r="Y132" s="136"/>
      <c r="Z132" s="182">
        <v>151</v>
      </c>
      <c r="AA132" s="164">
        <v>0</v>
      </c>
      <c r="AB132" s="182">
        <v>180</v>
      </c>
      <c r="AC132" s="136"/>
      <c r="AD132" s="136">
        <v>250</v>
      </c>
      <c r="AE132" s="136"/>
      <c r="AF132" s="136"/>
      <c r="AG132" s="136"/>
      <c r="AH132" s="136"/>
      <c r="AI132" s="136"/>
      <c r="AJ132" s="243">
        <v>1</v>
      </c>
      <c r="AK132" s="234"/>
      <c r="AL132" s="551">
        <f t="shared" ref="AL132:AL143" si="27">AB132/R132</f>
        <v>0.9</v>
      </c>
      <c r="AM132" s="236"/>
      <c r="AN132" s="120">
        <f t="shared" si="12"/>
        <v>1</v>
      </c>
      <c r="AO132" s="120">
        <f t="shared" si="13"/>
        <v>0</v>
      </c>
      <c r="AP132" s="136"/>
      <c r="AR132" s="102"/>
      <c r="AT132" s="102">
        <f>30000000*8</f>
        <v>240000000</v>
      </c>
    </row>
    <row r="133" spans="1:49" ht="62.25" customHeight="1">
      <c r="A133" s="136"/>
      <c r="B133" s="136"/>
      <c r="C133" s="160"/>
      <c r="D133" s="160"/>
      <c r="E133" s="161"/>
      <c r="F133" s="162"/>
      <c r="G133" s="43" t="s">
        <v>193</v>
      </c>
      <c r="H133" s="136" t="s">
        <v>557</v>
      </c>
      <c r="I133" s="136"/>
      <c r="J133" s="43" t="s">
        <v>261</v>
      </c>
      <c r="K133" s="120">
        <f t="shared" si="26"/>
        <v>108000000</v>
      </c>
      <c r="L133" s="136"/>
      <c r="M133" s="136"/>
      <c r="N133" s="136"/>
      <c r="O133" s="136"/>
      <c r="P133" s="43" t="s">
        <v>261</v>
      </c>
      <c r="Q133" s="164"/>
      <c r="R133" s="43">
        <v>9</v>
      </c>
      <c r="S133" s="164"/>
      <c r="T133" s="43">
        <v>9</v>
      </c>
      <c r="U133" s="164">
        <v>108000000</v>
      </c>
      <c r="V133" s="136"/>
      <c r="W133" s="136"/>
      <c r="X133" s="136"/>
      <c r="Y133" s="136"/>
      <c r="Z133" s="43">
        <v>9</v>
      </c>
      <c r="AA133" s="164">
        <v>0</v>
      </c>
      <c r="AB133" s="43">
        <v>9</v>
      </c>
      <c r="AC133" s="136"/>
      <c r="AD133" s="136">
        <v>9</v>
      </c>
      <c r="AE133" s="136"/>
      <c r="AF133" s="136"/>
      <c r="AG133" s="136"/>
      <c r="AH133" s="136"/>
      <c r="AI133" s="136"/>
      <c r="AJ133" s="243">
        <v>1</v>
      </c>
      <c r="AK133" s="234"/>
      <c r="AL133" s="551">
        <f t="shared" si="27"/>
        <v>1</v>
      </c>
      <c r="AM133" s="236"/>
      <c r="AN133" s="120">
        <f t="shared" si="12"/>
        <v>1</v>
      </c>
      <c r="AO133" s="120">
        <f t="shared" si="13"/>
        <v>0</v>
      </c>
      <c r="AP133" s="136"/>
      <c r="AR133" s="102"/>
      <c r="AT133" s="102">
        <f>9*1000000*12</f>
        <v>108000000</v>
      </c>
      <c r="AU133" s="102">
        <f>500000*9</f>
        <v>4500000</v>
      </c>
      <c r="AV133" s="172">
        <f>15*6*9*40000</f>
        <v>32400000</v>
      </c>
      <c r="AW133" s="141">
        <f>AT133+AU133+AV133</f>
        <v>144900000</v>
      </c>
    </row>
    <row r="134" spans="1:49" ht="105" customHeight="1">
      <c r="A134" s="136"/>
      <c r="B134" s="136"/>
      <c r="C134" s="160"/>
      <c r="D134" s="160"/>
      <c r="E134" s="161"/>
      <c r="F134" s="162"/>
      <c r="G134" s="43" t="s">
        <v>194</v>
      </c>
      <c r="H134" s="136" t="s">
        <v>558</v>
      </c>
      <c r="I134" s="136"/>
      <c r="J134" s="163" t="s">
        <v>267</v>
      </c>
      <c r="K134" s="120">
        <f t="shared" si="26"/>
        <v>0</v>
      </c>
      <c r="L134" s="136"/>
      <c r="M134" s="136"/>
      <c r="N134" s="136"/>
      <c r="O134" s="136"/>
      <c r="P134" s="136">
        <v>3</v>
      </c>
      <c r="Q134" s="164"/>
      <c r="R134" s="136">
        <v>3</v>
      </c>
      <c r="S134" s="164"/>
      <c r="T134" s="136">
        <v>3</v>
      </c>
      <c r="U134" s="164">
        <v>0</v>
      </c>
      <c r="V134" s="136"/>
      <c r="W134" s="136"/>
      <c r="X134" s="136"/>
      <c r="Y134" s="136"/>
      <c r="Z134" s="164">
        <v>0</v>
      </c>
      <c r="AA134" s="164">
        <v>0</v>
      </c>
      <c r="AB134" s="136">
        <v>0</v>
      </c>
      <c r="AC134" s="136"/>
      <c r="AD134" s="136">
        <v>0</v>
      </c>
      <c r="AE134" s="136"/>
      <c r="AF134" s="136"/>
      <c r="AG134" s="136"/>
      <c r="AH134" s="136"/>
      <c r="AI134" s="136"/>
      <c r="AJ134" s="243"/>
      <c r="AK134" s="234"/>
      <c r="AL134" s="551">
        <f t="shared" si="27"/>
        <v>0</v>
      </c>
      <c r="AM134" s="236"/>
      <c r="AN134" s="120">
        <f t="shared" si="12"/>
        <v>0</v>
      </c>
      <c r="AO134" s="120"/>
      <c r="AP134" s="136"/>
      <c r="AR134" s="102"/>
    </row>
    <row r="135" spans="1:49" ht="43.5">
      <c r="A135" s="136"/>
      <c r="B135" s="136"/>
      <c r="C135" s="160"/>
      <c r="D135" s="160"/>
      <c r="E135" s="161"/>
      <c r="F135" s="162"/>
      <c r="G135" s="43" t="s">
        <v>195</v>
      </c>
      <c r="H135" s="136" t="s">
        <v>558</v>
      </c>
      <c r="I135" s="136"/>
      <c r="J135" s="163" t="s">
        <v>267</v>
      </c>
      <c r="K135" s="120">
        <f t="shared" si="26"/>
        <v>15000000</v>
      </c>
      <c r="L135" s="136"/>
      <c r="M135" s="136"/>
      <c r="N135" s="136"/>
      <c r="O135" s="136"/>
      <c r="P135" s="136">
        <v>3</v>
      </c>
      <c r="Q135" s="173"/>
      <c r="R135" s="136">
        <v>3</v>
      </c>
      <c r="S135" s="173"/>
      <c r="T135" s="136">
        <v>3</v>
      </c>
      <c r="U135" s="173">
        <v>15000000</v>
      </c>
      <c r="V135" s="136"/>
      <c r="W135" s="136"/>
      <c r="X135" s="136"/>
      <c r="Y135" s="136"/>
      <c r="Z135" s="173">
        <v>0</v>
      </c>
      <c r="AA135" s="173">
        <v>0</v>
      </c>
      <c r="AB135" s="163">
        <v>3</v>
      </c>
      <c r="AC135" s="136"/>
      <c r="AD135" s="136">
        <v>3</v>
      </c>
      <c r="AE135" s="136"/>
      <c r="AF135" s="136"/>
      <c r="AG135" s="136"/>
      <c r="AH135" s="136"/>
      <c r="AI135" s="136"/>
      <c r="AJ135" s="243"/>
      <c r="AK135" s="234"/>
      <c r="AL135" s="551">
        <f t="shared" si="27"/>
        <v>1</v>
      </c>
      <c r="AM135" s="236"/>
      <c r="AN135" s="120">
        <f t="shared" si="12"/>
        <v>1</v>
      </c>
      <c r="AO135" s="120">
        <f t="shared" si="13"/>
        <v>0</v>
      </c>
      <c r="AP135" s="136"/>
      <c r="AR135" s="102"/>
    </row>
    <row r="136" spans="1:49" ht="43.5">
      <c r="A136" s="136"/>
      <c r="B136" s="136"/>
      <c r="C136" s="160"/>
      <c r="D136" s="160"/>
      <c r="E136" s="161"/>
      <c r="F136" s="162"/>
      <c r="G136" s="43" t="s">
        <v>196</v>
      </c>
      <c r="H136" s="117" t="s">
        <v>557</v>
      </c>
      <c r="I136" s="117"/>
      <c r="J136" s="43" t="s">
        <v>261</v>
      </c>
      <c r="K136" s="120">
        <f t="shared" si="26"/>
        <v>27000000</v>
      </c>
      <c r="L136" s="117"/>
      <c r="M136" s="117"/>
      <c r="N136" s="117"/>
      <c r="O136" s="117"/>
      <c r="P136" s="43" t="s">
        <v>261</v>
      </c>
      <c r="Q136" s="170"/>
      <c r="R136" s="43">
        <v>9</v>
      </c>
      <c r="S136" s="170"/>
      <c r="T136" s="43">
        <v>9</v>
      </c>
      <c r="U136" s="170">
        <v>27000000</v>
      </c>
      <c r="V136" s="117"/>
      <c r="W136" s="117"/>
      <c r="X136" s="117"/>
      <c r="Y136" s="117"/>
      <c r="Z136" s="43">
        <v>9</v>
      </c>
      <c r="AA136" s="170">
        <v>0</v>
      </c>
      <c r="AB136" s="43">
        <v>9</v>
      </c>
      <c r="AC136" s="117"/>
      <c r="AD136" s="117">
        <v>9</v>
      </c>
      <c r="AE136" s="117"/>
      <c r="AF136" s="117"/>
      <c r="AG136" s="117"/>
      <c r="AH136" s="117"/>
      <c r="AI136" s="117"/>
      <c r="AJ136" s="243">
        <v>1</v>
      </c>
      <c r="AK136" s="234"/>
      <c r="AL136" s="551">
        <f t="shared" si="27"/>
        <v>1</v>
      </c>
      <c r="AM136" s="236"/>
      <c r="AN136" s="120">
        <f t="shared" si="12"/>
        <v>1</v>
      </c>
      <c r="AO136" s="120">
        <f t="shared" si="13"/>
        <v>0</v>
      </c>
      <c r="AP136" s="117"/>
      <c r="AR136" s="102"/>
      <c r="AS136" s="102">
        <f>9*3000000</f>
        <v>27000000</v>
      </c>
    </row>
    <row r="137" spans="1:49" ht="124.5" customHeight="1">
      <c r="A137" s="136"/>
      <c r="B137" s="136"/>
      <c r="C137" s="160"/>
      <c r="D137" s="160"/>
      <c r="E137" s="161"/>
      <c r="F137" s="162"/>
      <c r="G137" s="43" t="s">
        <v>197</v>
      </c>
      <c r="H137" s="117" t="s">
        <v>557</v>
      </c>
      <c r="I137" s="117"/>
      <c r="J137" s="43" t="s">
        <v>261</v>
      </c>
      <c r="K137" s="120">
        <f t="shared" si="26"/>
        <v>18000000</v>
      </c>
      <c r="L137" s="117"/>
      <c r="M137" s="117"/>
      <c r="N137" s="117"/>
      <c r="O137" s="117"/>
      <c r="P137" s="117">
        <v>0</v>
      </c>
      <c r="Q137" s="170"/>
      <c r="R137" s="117">
        <v>9</v>
      </c>
      <c r="S137" s="170"/>
      <c r="T137" s="117">
        <v>9</v>
      </c>
      <c r="U137" s="170">
        <v>18000000</v>
      </c>
      <c r="V137" s="117"/>
      <c r="W137" s="117"/>
      <c r="X137" s="117"/>
      <c r="Y137" s="117"/>
      <c r="Z137" s="170"/>
      <c r="AA137" s="170">
        <v>0</v>
      </c>
      <c r="AB137" s="43">
        <v>1</v>
      </c>
      <c r="AC137" s="117"/>
      <c r="AD137" s="117">
        <v>9</v>
      </c>
      <c r="AE137" s="117"/>
      <c r="AF137" s="117"/>
      <c r="AG137" s="117"/>
      <c r="AH137" s="117"/>
      <c r="AI137" s="117"/>
      <c r="AJ137" s="243"/>
      <c r="AK137" s="234"/>
      <c r="AL137" s="551">
        <f t="shared" si="27"/>
        <v>0.1111111111111111</v>
      </c>
      <c r="AM137" s="236"/>
      <c r="AN137" s="120">
        <f t="shared" si="12"/>
        <v>1</v>
      </c>
      <c r="AO137" s="120">
        <f t="shared" si="13"/>
        <v>0</v>
      </c>
      <c r="AP137" s="117"/>
      <c r="AR137" s="102"/>
      <c r="AS137" s="172">
        <f>2000000*9</f>
        <v>18000000</v>
      </c>
      <c r="AT137" s="172">
        <v>10000000</v>
      </c>
      <c r="AU137" s="172">
        <f>AS137+AT137</f>
        <v>28000000</v>
      </c>
    </row>
    <row r="138" spans="1:49" ht="81" customHeight="1">
      <c r="A138" s="109"/>
      <c r="B138" s="109"/>
      <c r="C138" s="157"/>
      <c r="D138" s="157"/>
      <c r="E138" s="158"/>
      <c r="F138" s="159" t="s">
        <v>198</v>
      </c>
      <c r="G138" s="128" t="s">
        <v>580</v>
      </c>
      <c r="H138" s="115" t="s">
        <v>561</v>
      </c>
      <c r="I138" s="115"/>
      <c r="J138" s="115" t="s">
        <v>295</v>
      </c>
      <c r="K138" s="114">
        <f>K139</f>
        <v>6629763500</v>
      </c>
      <c r="L138" s="115"/>
      <c r="M138" s="115"/>
      <c r="N138" s="115"/>
      <c r="O138" s="115"/>
      <c r="P138" s="115" t="s">
        <v>271</v>
      </c>
      <c r="Q138" s="114">
        <f>Q139</f>
        <v>2279364500</v>
      </c>
      <c r="R138" s="115">
        <v>106</v>
      </c>
      <c r="S138" s="114">
        <f>S139</f>
        <v>2187999000</v>
      </c>
      <c r="T138" s="115">
        <v>106</v>
      </c>
      <c r="U138" s="114">
        <f>U139</f>
        <v>2162400000</v>
      </c>
      <c r="V138" s="115"/>
      <c r="W138" s="115"/>
      <c r="X138" s="115"/>
      <c r="Y138" s="115"/>
      <c r="Z138" s="115">
        <v>103</v>
      </c>
      <c r="AA138" s="114">
        <f>AA139</f>
        <v>2254052025</v>
      </c>
      <c r="AB138" s="115">
        <v>105</v>
      </c>
      <c r="AC138" s="114">
        <f>AC139</f>
        <v>2162939000</v>
      </c>
      <c r="AD138" s="115">
        <v>106</v>
      </c>
      <c r="AE138" s="114">
        <f>AE139</f>
        <v>2266471400</v>
      </c>
      <c r="AF138" s="115"/>
      <c r="AG138" s="115"/>
      <c r="AH138" s="115"/>
      <c r="AI138" s="115"/>
      <c r="AJ138" s="242">
        <v>1</v>
      </c>
      <c r="AK138" s="238">
        <f t="shared" ref="AK138:AK145" si="28">AA138/Q138*100%</f>
        <v>0.98889494198931327</v>
      </c>
      <c r="AL138" s="549">
        <f t="shared" si="27"/>
        <v>0.99056603773584906</v>
      </c>
      <c r="AM138" s="241">
        <f t="shared" si="11"/>
        <v>0.9885466126812672</v>
      </c>
      <c r="AN138" s="800">
        <f>AD138/T138</f>
        <v>1</v>
      </c>
      <c r="AO138" s="112">
        <f t="shared" si="13"/>
        <v>1.0481277284498705</v>
      </c>
      <c r="AP138" s="109" t="s">
        <v>153</v>
      </c>
      <c r="AR138" s="102"/>
    </row>
    <row r="139" spans="1:49" ht="77.5" customHeight="1">
      <c r="A139" s="136"/>
      <c r="B139" s="136"/>
      <c r="C139" s="160"/>
      <c r="D139" s="160"/>
      <c r="E139" s="161"/>
      <c r="F139" s="162" t="s">
        <v>199</v>
      </c>
      <c r="G139" s="43" t="s">
        <v>200</v>
      </c>
      <c r="H139" s="136" t="s">
        <v>559</v>
      </c>
      <c r="I139" s="136"/>
      <c r="J139" s="136" t="s">
        <v>272</v>
      </c>
      <c r="K139" s="120">
        <f>M139+O139+Q139+S139+U139</f>
        <v>6629763500</v>
      </c>
      <c r="L139" s="136"/>
      <c r="M139" s="136"/>
      <c r="N139" s="136"/>
      <c r="O139" s="136"/>
      <c r="P139" s="136" t="s">
        <v>272</v>
      </c>
      <c r="Q139" s="164">
        <f>'[13]SPJ FUNGSIONAL '!$O$333</f>
        <v>2279364500</v>
      </c>
      <c r="R139" s="136">
        <v>6</v>
      </c>
      <c r="S139" s="137">
        <v>2187999000</v>
      </c>
      <c r="T139" s="136"/>
      <c r="U139" s="942">
        <v>2162400000</v>
      </c>
      <c r="V139" s="136"/>
      <c r="W139" s="136"/>
      <c r="X139" s="136"/>
      <c r="Y139" s="136"/>
      <c r="Z139" s="136">
        <v>6</v>
      </c>
      <c r="AA139" s="164">
        <f>'[13]SPJ FUNGSIONAL '!$Y$333</f>
        <v>2254052025</v>
      </c>
      <c r="AB139" s="136"/>
      <c r="AC139" s="541">
        <f>'LRA 2022'!U263</f>
        <v>2162939000</v>
      </c>
      <c r="AD139" s="136"/>
      <c r="AE139" s="940">
        <f>'LRA 2023'!U269</f>
        <v>2266471400</v>
      </c>
      <c r="AF139" s="136"/>
      <c r="AG139" s="136"/>
      <c r="AH139" s="136"/>
      <c r="AI139" s="136"/>
      <c r="AJ139" s="243">
        <v>1</v>
      </c>
      <c r="AK139" s="234">
        <f t="shared" si="28"/>
        <v>0.98889494198931327</v>
      </c>
      <c r="AL139" s="551">
        <f t="shared" si="27"/>
        <v>0</v>
      </c>
      <c r="AM139" s="236">
        <f t="shared" ref="AM139:AM153" si="29">AC139/S139*100%</f>
        <v>0.9885466126812672</v>
      </c>
      <c r="AN139" s="799"/>
      <c r="AO139" s="938">
        <f t="shared" si="13"/>
        <v>1.0481277284498705</v>
      </c>
      <c r="AP139" s="136"/>
      <c r="AR139" s="102" t="e">
        <f>#REF!</f>
        <v>#REF!</v>
      </c>
      <c r="AT139" s="172">
        <f>106*1700000*12</f>
        <v>2162400000</v>
      </c>
    </row>
    <row r="140" spans="1:49" ht="77.5" customHeight="1">
      <c r="A140" s="136"/>
      <c r="B140" s="136"/>
      <c r="C140" s="160"/>
      <c r="D140" s="160"/>
      <c r="E140" s="161"/>
      <c r="F140" s="162"/>
      <c r="G140" s="43" t="s">
        <v>579</v>
      </c>
      <c r="H140" s="136"/>
      <c r="I140" s="136"/>
      <c r="J140" s="136"/>
      <c r="K140" s="120"/>
      <c r="L140" s="136"/>
      <c r="M140" s="136"/>
      <c r="N140" s="136"/>
      <c r="O140" s="136"/>
      <c r="P140" s="136"/>
      <c r="Q140" s="164"/>
      <c r="R140" s="136"/>
      <c r="S140" s="137"/>
      <c r="T140" s="136">
        <v>106</v>
      </c>
      <c r="U140" s="943"/>
      <c r="V140" s="136"/>
      <c r="W140" s="136"/>
      <c r="X140" s="136"/>
      <c r="Y140" s="136"/>
      <c r="Z140" s="136"/>
      <c r="AA140" s="164"/>
      <c r="AB140" s="136"/>
      <c r="AC140" s="541"/>
      <c r="AD140" s="136">
        <v>106</v>
      </c>
      <c r="AE140" s="941"/>
      <c r="AF140" s="136"/>
      <c r="AG140" s="136"/>
      <c r="AH140" s="136"/>
      <c r="AI140" s="136"/>
      <c r="AJ140" s="243"/>
      <c r="AK140" s="234"/>
      <c r="AL140" s="551"/>
      <c r="AM140" s="236"/>
      <c r="AN140" s="799">
        <f>AD140/T140</f>
        <v>1</v>
      </c>
      <c r="AO140" s="939"/>
      <c r="AP140" s="136"/>
      <c r="AR140" s="102"/>
      <c r="AT140" s="172"/>
    </row>
    <row r="141" spans="1:49" ht="107.25" customHeight="1">
      <c r="A141" s="95"/>
      <c r="B141" s="95"/>
      <c r="C141" s="177">
        <v>4</v>
      </c>
      <c r="D141" s="177"/>
      <c r="E141" s="178"/>
      <c r="F141" s="155" t="s">
        <v>201</v>
      </c>
      <c r="G141" s="97" t="s">
        <v>202</v>
      </c>
      <c r="H141" s="156" t="s">
        <v>562</v>
      </c>
      <c r="I141" s="156"/>
      <c r="J141" s="156" t="s">
        <v>296</v>
      </c>
      <c r="K141" s="99">
        <f>K143</f>
        <v>483860400</v>
      </c>
      <c r="L141" s="156"/>
      <c r="M141" s="156"/>
      <c r="N141" s="156"/>
      <c r="O141" s="156"/>
      <c r="P141" s="156" t="s">
        <v>273</v>
      </c>
      <c r="Q141" s="99">
        <f>Q143</f>
        <v>414868400</v>
      </c>
      <c r="R141" s="156">
        <v>15</v>
      </c>
      <c r="S141" s="99">
        <f>S143</f>
        <v>41992000</v>
      </c>
      <c r="T141" s="156"/>
      <c r="U141" s="936">
        <f>U143</f>
        <v>27000000</v>
      </c>
      <c r="V141" s="156"/>
      <c r="W141" s="156"/>
      <c r="X141" s="156"/>
      <c r="Y141" s="156"/>
      <c r="Z141" s="156">
        <v>20</v>
      </c>
      <c r="AA141" s="99">
        <f>AA143</f>
        <v>155794300</v>
      </c>
      <c r="AB141" s="156">
        <v>10</v>
      </c>
      <c r="AC141" s="99">
        <f>AC143</f>
        <v>22987450</v>
      </c>
      <c r="AD141" s="156"/>
      <c r="AE141" s="936">
        <f>AE143</f>
        <v>14891225</v>
      </c>
      <c r="AF141" s="156"/>
      <c r="AG141" s="156"/>
      <c r="AH141" s="156"/>
      <c r="AI141" s="156"/>
      <c r="AJ141" s="231">
        <f>20/20*100%</f>
        <v>1</v>
      </c>
      <c r="AK141" s="232">
        <f t="shared" si="28"/>
        <v>0.3755270345969951</v>
      </c>
      <c r="AL141" s="557">
        <f t="shared" si="27"/>
        <v>0.66666666666666663</v>
      </c>
      <c r="AM141" s="232">
        <f t="shared" si="29"/>
        <v>0.54742450943036769</v>
      </c>
      <c r="AN141" s="156">
        <v>0</v>
      </c>
      <c r="AO141" s="934">
        <f>AD142/T142</f>
        <v>1</v>
      </c>
      <c r="AP141" s="95" t="s">
        <v>153</v>
      </c>
      <c r="AR141" s="102"/>
    </row>
    <row r="142" spans="1:49" ht="107.25" customHeight="1">
      <c r="A142" s="95"/>
      <c r="B142" s="95"/>
      <c r="C142" s="177"/>
      <c r="D142" s="177"/>
      <c r="E142" s="178"/>
      <c r="F142" s="155"/>
      <c r="G142" s="97" t="s">
        <v>578</v>
      </c>
      <c r="H142" s="156"/>
      <c r="I142" s="156"/>
      <c r="J142" s="156"/>
      <c r="K142" s="99"/>
      <c r="L142" s="156"/>
      <c r="M142" s="156"/>
      <c r="N142" s="156"/>
      <c r="O142" s="156"/>
      <c r="P142" s="156"/>
      <c r="Q142" s="99"/>
      <c r="R142" s="156"/>
      <c r="S142" s="99"/>
      <c r="T142" s="233">
        <v>1</v>
      </c>
      <c r="U142" s="937"/>
      <c r="V142" s="156"/>
      <c r="W142" s="156"/>
      <c r="X142" s="156"/>
      <c r="Y142" s="156"/>
      <c r="Z142" s="156"/>
      <c r="AA142" s="99"/>
      <c r="AB142" s="233"/>
      <c r="AC142" s="99"/>
      <c r="AD142" s="233">
        <v>1</v>
      </c>
      <c r="AE142" s="937"/>
      <c r="AF142" s="156"/>
      <c r="AG142" s="156"/>
      <c r="AH142" s="156"/>
      <c r="AI142" s="156"/>
      <c r="AJ142" s="231"/>
      <c r="AK142" s="232"/>
      <c r="AL142" s="557"/>
      <c r="AM142" s="232"/>
      <c r="AN142" s="184">
        <f>AD142/T142</f>
        <v>1</v>
      </c>
      <c r="AO142" s="935"/>
      <c r="AP142" s="95"/>
      <c r="AR142" s="102"/>
    </row>
    <row r="143" spans="1:49" ht="107.25" customHeight="1">
      <c r="A143" s="109"/>
      <c r="B143" s="109"/>
      <c r="C143" s="157"/>
      <c r="D143" s="157"/>
      <c r="E143" s="158"/>
      <c r="F143" s="159" t="s">
        <v>203</v>
      </c>
      <c r="G143" s="128" t="s">
        <v>204</v>
      </c>
      <c r="H143" s="115" t="s">
        <v>548</v>
      </c>
      <c r="I143" s="115"/>
      <c r="J143" s="115" t="s">
        <v>274</v>
      </c>
      <c r="K143" s="114">
        <f>K144</f>
        <v>483860400</v>
      </c>
      <c r="L143" s="115"/>
      <c r="M143" s="115"/>
      <c r="N143" s="115"/>
      <c r="O143" s="115"/>
      <c r="P143" s="115" t="s">
        <v>274</v>
      </c>
      <c r="Q143" s="114">
        <f>Q144</f>
        <v>414868400</v>
      </c>
      <c r="R143" s="115">
        <v>2</v>
      </c>
      <c r="S143" s="114">
        <f>S144</f>
        <v>41992000</v>
      </c>
      <c r="T143" s="115">
        <v>2</v>
      </c>
      <c r="U143" s="114">
        <f>U144</f>
        <v>27000000</v>
      </c>
      <c r="V143" s="115"/>
      <c r="W143" s="115"/>
      <c r="X143" s="115"/>
      <c r="Y143" s="115"/>
      <c r="Z143" s="115">
        <v>2</v>
      </c>
      <c r="AA143" s="114">
        <f>AA144</f>
        <v>155794300</v>
      </c>
      <c r="AB143" s="115">
        <v>2</v>
      </c>
      <c r="AC143" s="114">
        <f>AC144</f>
        <v>22987450</v>
      </c>
      <c r="AD143" s="115">
        <v>2</v>
      </c>
      <c r="AE143" s="114">
        <f>AE144</f>
        <v>14891225</v>
      </c>
      <c r="AF143" s="115"/>
      <c r="AG143" s="115"/>
      <c r="AH143" s="115"/>
      <c r="AI143" s="115"/>
      <c r="AJ143" s="242">
        <v>1</v>
      </c>
      <c r="AK143" s="238">
        <f t="shared" si="28"/>
        <v>0.3755270345969951</v>
      </c>
      <c r="AL143" s="556">
        <f t="shared" si="27"/>
        <v>1</v>
      </c>
      <c r="AM143" s="241">
        <f t="shared" si="29"/>
        <v>0.54742450943036769</v>
      </c>
      <c r="AN143" s="549">
        <f>AD143/T143</f>
        <v>1</v>
      </c>
      <c r="AO143" s="239">
        <f t="shared" ref="AO143:AO155" si="30">AE143/U143</f>
        <v>0.55152685185185191</v>
      </c>
      <c r="AP143" s="109" t="s">
        <v>153</v>
      </c>
      <c r="AR143" s="102" t="e">
        <f>#REF!</f>
        <v>#REF!</v>
      </c>
      <c r="AU143" s="1">
        <f>4*8</f>
        <v>32</v>
      </c>
    </row>
    <row r="144" spans="1:49" ht="147.75" customHeight="1">
      <c r="A144" s="136"/>
      <c r="B144" s="136"/>
      <c r="C144" s="160"/>
      <c r="D144" s="160"/>
      <c r="E144" s="161"/>
      <c r="F144" s="162" t="s">
        <v>205</v>
      </c>
      <c r="G144" s="57"/>
      <c r="H144" s="181"/>
      <c r="I144" s="181"/>
      <c r="J144" s="181"/>
      <c r="K144" s="120">
        <f t="shared" ref="K144:K147" si="31">M144+O144+Q144+S144+U144</f>
        <v>483860400</v>
      </c>
      <c r="L144" s="181"/>
      <c r="M144" s="181"/>
      <c r="N144" s="181"/>
      <c r="O144" s="181"/>
      <c r="P144" s="181"/>
      <c r="Q144" s="135">
        <f>Q145+Q146</f>
        <v>414868400</v>
      </c>
      <c r="R144" s="181"/>
      <c r="S144" s="135">
        <f>S145+S146</f>
        <v>41992000</v>
      </c>
      <c r="T144" s="181"/>
      <c r="U144" s="135">
        <f>U145+U146</f>
        <v>27000000</v>
      </c>
      <c r="V144" s="181"/>
      <c r="W144" s="181"/>
      <c r="X144" s="181"/>
      <c r="Y144" s="181"/>
      <c r="Z144" s="135"/>
      <c r="AA144" s="135">
        <f>AA145+AA146</f>
        <v>155794300</v>
      </c>
      <c r="AB144" s="181"/>
      <c r="AC144" s="534">
        <f>'LRA 2022'!U278</f>
        <v>22987450</v>
      </c>
      <c r="AD144" s="181"/>
      <c r="AE144" s="534">
        <f>'LRA 2023'!U290</f>
        <v>14891225</v>
      </c>
      <c r="AF144" s="181"/>
      <c r="AG144" s="181"/>
      <c r="AH144" s="181"/>
      <c r="AI144" s="181"/>
      <c r="AJ144" s="244"/>
      <c r="AK144" s="234">
        <f t="shared" si="28"/>
        <v>0.3755270345969951</v>
      </c>
      <c r="AL144" s="551"/>
      <c r="AM144" s="236">
        <f t="shared" si="29"/>
        <v>0.54742450943036769</v>
      </c>
      <c r="AN144" s="181"/>
      <c r="AO144" s="120">
        <f t="shared" si="30"/>
        <v>0.55152685185185191</v>
      </c>
      <c r="AP144" s="136"/>
      <c r="AR144" s="102"/>
    </row>
    <row r="145" spans="1:52" ht="84.75" customHeight="1">
      <c r="A145" s="136"/>
      <c r="B145" s="136"/>
      <c r="C145" s="160"/>
      <c r="D145" s="160"/>
      <c r="E145" s="161"/>
      <c r="F145" s="162"/>
      <c r="G145" s="43" t="s">
        <v>206</v>
      </c>
      <c r="H145" s="136" t="s">
        <v>551</v>
      </c>
      <c r="I145" s="136"/>
      <c r="J145" s="136" t="s">
        <v>275</v>
      </c>
      <c r="K145" s="120">
        <f t="shared" si="31"/>
        <v>483860400</v>
      </c>
      <c r="L145" s="136"/>
      <c r="M145" s="136"/>
      <c r="N145" s="136"/>
      <c r="O145" s="136"/>
      <c r="P145" s="136" t="s">
        <v>275</v>
      </c>
      <c r="Q145" s="137">
        <f>'[13]SPJ FUNGSIONAL '!$O$355</f>
        <v>414868400</v>
      </c>
      <c r="R145" s="136">
        <v>108</v>
      </c>
      <c r="S145" s="137">
        <v>41992000</v>
      </c>
      <c r="T145" s="136">
        <v>108</v>
      </c>
      <c r="U145" s="137">
        <v>27000000</v>
      </c>
      <c r="V145" s="136"/>
      <c r="W145" s="136"/>
      <c r="X145" s="136"/>
      <c r="Y145" s="136"/>
      <c r="Z145" s="136">
        <v>49</v>
      </c>
      <c r="AA145" s="137">
        <f>'[13]SPJ FUNGSIONAL '!$Y$355</f>
        <v>155794300</v>
      </c>
      <c r="AB145" s="136">
        <v>96</v>
      </c>
      <c r="AC145" s="136"/>
      <c r="AD145" s="136">
        <v>12</v>
      </c>
      <c r="AE145" s="136"/>
      <c r="AF145" s="136"/>
      <c r="AG145" s="136"/>
      <c r="AH145" s="136"/>
      <c r="AI145" s="136"/>
      <c r="AJ145" s="234">
        <f>49/108*100%</f>
        <v>0.45370370370370372</v>
      </c>
      <c r="AK145" s="234">
        <f t="shared" si="28"/>
        <v>0.3755270345969951</v>
      </c>
      <c r="AL145" s="551">
        <f>AB145/R145</f>
        <v>0.88888888888888884</v>
      </c>
      <c r="AM145" s="236">
        <f t="shared" si="29"/>
        <v>0</v>
      </c>
      <c r="AN145" s="136"/>
      <c r="AO145" s="120">
        <f t="shared" si="30"/>
        <v>0</v>
      </c>
      <c r="AP145" s="136"/>
      <c r="AR145" s="102"/>
      <c r="AS145" s="172">
        <f>6*9*5*100000</f>
        <v>27000000</v>
      </c>
      <c r="AT145" s="1" t="s">
        <v>207</v>
      </c>
      <c r="AU145" s="1" t="s">
        <v>208</v>
      </c>
      <c r="AV145" s="172">
        <f>9*12*10*40000</f>
        <v>43200000</v>
      </c>
      <c r="AW145" s="183">
        <f>AS145+AV145</f>
        <v>70200000</v>
      </c>
      <c r="AY145" s="1">
        <f>6*9</f>
        <v>54</v>
      </c>
      <c r="AZ145" s="1">
        <f>9*12</f>
        <v>108</v>
      </c>
    </row>
    <row r="146" spans="1:52" ht="84.75" customHeight="1">
      <c r="A146" s="136"/>
      <c r="B146" s="136"/>
      <c r="C146" s="160"/>
      <c r="D146" s="160"/>
      <c r="E146" s="161"/>
      <c r="F146" s="162"/>
      <c r="G146" s="43" t="s">
        <v>209</v>
      </c>
      <c r="H146" s="136" t="s">
        <v>551</v>
      </c>
      <c r="I146" s="136"/>
      <c r="J146" s="136" t="s">
        <v>297</v>
      </c>
      <c r="K146" s="120">
        <f t="shared" si="31"/>
        <v>0</v>
      </c>
      <c r="L146" s="136"/>
      <c r="M146" s="136"/>
      <c r="N146" s="136"/>
      <c r="O146" s="136"/>
      <c r="P146" s="136" t="s">
        <v>276</v>
      </c>
      <c r="Q146" s="136"/>
      <c r="R146" s="136">
        <v>49</v>
      </c>
      <c r="S146" s="136"/>
      <c r="T146" s="136">
        <v>54</v>
      </c>
      <c r="U146" s="136"/>
      <c r="V146" s="136"/>
      <c r="W146" s="136"/>
      <c r="X146" s="136"/>
      <c r="Y146" s="136"/>
      <c r="Z146" s="136">
        <v>48</v>
      </c>
      <c r="AA146" s="136"/>
      <c r="AB146" s="136">
        <v>49</v>
      </c>
      <c r="AC146" s="136"/>
      <c r="AD146" s="136">
        <v>49</v>
      </c>
      <c r="AE146" s="136"/>
      <c r="AF146" s="136"/>
      <c r="AG146" s="136"/>
      <c r="AH146" s="136"/>
      <c r="AI146" s="136"/>
      <c r="AJ146" s="234">
        <f>48/49*100%</f>
        <v>0.97959183673469385</v>
      </c>
      <c r="AK146" s="136"/>
      <c r="AL146" s="551">
        <f>AB146/R146</f>
        <v>1</v>
      </c>
      <c r="AM146" s="236"/>
      <c r="AN146" s="136"/>
      <c r="AO146" s="120"/>
      <c r="AP146" s="136"/>
      <c r="AR146" s="102"/>
      <c r="AT146" s="102">
        <f>3000000*9</f>
        <v>27000000</v>
      </c>
    </row>
    <row r="147" spans="1:52" ht="84.75" customHeight="1">
      <c r="A147" s="136"/>
      <c r="B147" s="136"/>
      <c r="C147" s="160"/>
      <c r="D147" s="160"/>
      <c r="E147" s="161"/>
      <c r="F147" s="162"/>
      <c r="G147" s="43" t="s">
        <v>210</v>
      </c>
      <c r="H147" s="136" t="s">
        <v>563</v>
      </c>
      <c r="I147" s="136"/>
      <c r="J147" s="136"/>
      <c r="K147" s="120">
        <f t="shared" si="31"/>
        <v>0</v>
      </c>
      <c r="L147" s="136"/>
      <c r="M147" s="136"/>
      <c r="N147" s="136"/>
      <c r="O147" s="136"/>
      <c r="P147" s="136" t="s">
        <v>277</v>
      </c>
      <c r="Q147" s="136"/>
      <c r="R147" s="136">
        <v>0</v>
      </c>
      <c r="S147" s="136"/>
      <c r="T147" s="136">
        <v>0</v>
      </c>
      <c r="U147" s="136"/>
      <c r="V147" s="136"/>
      <c r="W147" s="136"/>
      <c r="X147" s="136"/>
      <c r="Y147" s="136"/>
      <c r="Z147" s="136">
        <v>9</v>
      </c>
      <c r="AA147" s="136"/>
      <c r="AB147" s="136">
        <v>0</v>
      </c>
      <c r="AC147" s="136"/>
      <c r="AD147" s="136">
        <v>0</v>
      </c>
      <c r="AE147" s="136"/>
      <c r="AF147" s="136"/>
      <c r="AG147" s="136"/>
      <c r="AH147" s="136"/>
      <c r="AI147" s="136"/>
      <c r="AJ147" s="243">
        <v>1</v>
      </c>
      <c r="AK147" s="136"/>
      <c r="AL147" s="551"/>
      <c r="AM147" s="236"/>
      <c r="AN147" s="136"/>
      <c r="AO147" s="120"/>
      <c r="AP147" s="136"/>
      <c r="AR147" s="102"/>
      <c r="AS147" s="1">
        <f>6*8+1</f>
        <v>49</v>
      </c>
      <c r="AT147" s="1" t="s">
        <v>211</v>
      </c>
    </row>
    <row r="148" spans="1:52" ht="254.25" customHeight="1">
      <c r="A148" s="95"/>
      <c r="B148" s="95"/>
      <c r="C148" s="177">
        <v>5</v>
      </c>
      <c r="D148" s="177"/>
      <c r="E148" s="178"/>
      <c r="F148" s="155" t="s">
        <v>212</v>
      </c>
      <c r="G148" s="97" t="s">
        <v>577</v>
      </c>
      <c r="H148" s="156" t="s">
        <v>545</v>
      </c>
      <c r="I148" s="156"/>
      <c r="J148" s="184">
        <v>1</v>
      </c>
      <c r="K148" s="99">
        <f>K149</f>
        <v>457719000</v>
      </c>
      <c r="L148" s="156"/>
      <c r="M148" s="156"/>
      <c r="N148" s="156"/>
      <c r="O148" s="156"/>
      <c r="P148" s="184">
        <v>1</v>
      </c>
      <c r="Q148" s="99">
        <f>Q149</f>
        <v>42242500</v>
      </c>
      <c r="R148" s="184">
        <v>1</v>
      </c>
      <c r="S148" s="99">
        <f>S149</f>
        <v>348076500</v>
      </c>
      <c r="T148" s="184">
        <v>1</v>
      </c>
      <c r="U148" s="99">
        <f>U149</f>
        <v>67400000</v>
      </c>
      <c r="V148" s="156"/>
      <c r="W148" s="156"/>
      <c r="X148" s="156"/>
      <c r="Y148" s="156"/>
      <c r="Z148" s="184">
        <v>1</v>
      </c>
      <c r="AA148" s="99">
        <f>AA149</f>
        <v>32111450</v>
      </c>
      <c r="AB148" s="184">
        <v>1</v>
      </c>
      <c r="AC148" s="99">
        <f>AC149</f>
        <v>357851905</v>
      </c>
      <c r="AD148" s="156">
        <v>100</v>
      </c>
      <c r="AE148" s="99">
        <f>AE149</f>
        <v>11801600</v>
      </c>
      <c r="AF148" s="156"/>
      <c r="AG148" s="156"/>
      <c r="AH148" s="156"/>
      <c r="AI148" s="156"/>
      <c r="AJ148" s="184">
        <v>1</v>
      </c>
      <c r="AK148" s="232">
        <f>AA148/Q148*100%</f>
        <v>0.76016926081552938</v>
      </c>
      <c r="AL148" s="557">
        <f>AB148/R148</f>
        <v>1</v>
      </c>
      <c r="AM148" s="232">
        <f t="shared" si="29"/>
        <v>1.0280840705994228</v>
      </c>
      <c r="AN148" s="156">
        <f>AD148/T148</f>
        <v>100</v>
      </c>
      <c r="AO148" s="98">
        <f t="shared" si="30"/>
        <v>0.17509792284866468</v>
      </c>
      <c r="AP148" s="95" t="s">
        <v>153</v>
      </c>
      <c r="AR148" s="102"/>
      <c r="AS148" s="1">
        <v>12</v>
      </c>
      <c r="AT148" s="185">
        <f>108+49</f>
        <v>157</v>
      </c>
      <c r="AU148" s="186">
        <f>49+48</f>
        <v>97</v>
      </c>
      <c r="AV148" s="187">
        <f>AU148/AT148</f>
        <v>0.61783439490445857</v>
      </c>
    </row>
    <row r="149" spans="1:52" ht="118.5" customHeight="1">
      <c r="A149" s="109"/>
      <c r="B149" s="109"/>
      <c r="C149" s="157"/>
      <c r="D149" s="157"/>
      <c r="E149" s="158"/>
      <c r="F149" s="159" t="s">
        <v>213</v>
      </c>
      <c r="G149" s="128" t="s">
        <v>214</v>
      </c>
      <c r="H149" s="115"/>
      <c r="I149" s="115"/>
      <c r="J149" s="109">
        <v>4</v>
      </c>
      <c r="K149" s="147">
        <f>K150+K153</f>
        <v>457719000</v>
      </c>
      <c r="L149" s="115"/>
      <c r="M149" s="115"/>
      <c r="N149" s="115"/>
      <c r="O149" s="115"/>
      <c r="P149" s="115">
        <v>3</v>
      </c>
      <c r="Q149" s="147">
        <f>Q150+Q153</f>
        <v>42242500</v>
      </c>
      <c r="R149" s="109">
        <v>4</v>
      </c>
      <c r="S149" s="147">
        <f>S150+S153</f>
        <v>348076500</v>
      </c>
      <c r="T149" s="109">
        <v>4</v>
      </c>
      <c r="U149" s="147">
        <f>U150+U153</f>
        <v>67400000</v>
      </c>
      <c r="V149" s="115"/>
      <c r="W149" s="115"/>
      <c r="X149" s="115"/>
      <c r="Y149" s="115"/>
      <c r="Z149" s="147">
        <v>3</v>
      </c>
      <c r="AA149" s="147">
        <f>AA150+AA153</f>
        <v>32111450</v>
      </c>
      <c r="AB149" s="109">
        <v>4</v>
      </c>
      <c r="AC149" s="147">
        <f>AC150+AC153</f>
        <v>357851905</v>
      </c>
      <c r="AD149" s="115">
        <v>2</v>
      </c>
      <c r="AE149" s="147">
        <f>AE150+AE153</f>
        <v>11801600</v>
      </c>
      <c r="AF149" s="115"/>
      <c r="AG149" s="115"/>
      <c r="AH149" s="115"/>
      <c r="AI149" s="115"/>
      <c r="AJ149" s="242">
        <v>1</v>
      </c>
      <c r="AK149" s="238">
        <f>AA149/Q149*100%</f>
        <v>0.76016926081552938</v>
      </c>
      <c r="AL149" s="556">
        <f>AB149/R149</f>
        <v>1</v>
      </c>
      <c r="AM149" s="241">
        <f t="shared" si="29"/>
        <v>1.0280840705994228</v>
      </c>
      <c r="AN149" s="115">
        <f>AD149/T149</f>
        <v>0.5</v>
      </c>
      <c r="AO149" s="112">
        <f t="shared" si="30"/>
        <v>0.17509792284866468</v>
      </c>
      <c r="AP149" s="109" t="s">
        <v>153</v>
      </c>
      <c r="AR149" s="102" t="e">
        <f>#REF!</f>
        <v>#REF!</v>
      </c>
      <c r="AS149" s="1">
        <f>6*8</f>
        <v>48</v>
      </c>
      <c r="AT149" s="1">
        <f>6*8</f>
        <v>48</v>
      </c>
      <c r="AU149" s="1">
        <f>6*9</f>
        <v>54</v>
      </c>
    </row>
    <row r="150" spans="1:52" ht="156" customHeight="1">
      <c r="A150" s="136"/>
      <c r="B150" s="136"/>
      <c r="C150" s="160"/>
      <c r="D150" s="160"/>
      <c r="E150" s="161"/>
      <c r="F150" s="913" t="s">
        <v>215</v>
      </c>
      <c r="G150" s="43"/>
      <c r="H150" s="136"/>
      <c r="I150" s="136"/>
      <c r="J150" s="136"/>
      <c r="K150" s="120">
        <f t="shared" ref="K150:K155" si="32">M150+O150+Q150+S150+U150</f>
        <v>340395000</v>
      </c>
      <c r="L150" s="136"/>
      <c r="M150" s="136"/>
      <c r="N150" s="136"/>
      <c r="O150" s="136"/>
      <c r="P150" s="181"/>
      <c r="Q150" s="135">
        <f>Q151+Q152</f>
        <v>33042500</v>
      </c>
      <c r="R150" s="132"/>
      <c r="S150" s="135">
        <v>267352500</v>
      </c>
      <c r="T150" s="132">
        <v>8</v>
      </c>
      <c r="U150" s="135">
        <f>U151+U152</f>
        <v>40000000</v>
      </c>
      <c r="V150" s="136"/>
      <c r="W150" s="136"/>
      <c r="X150" s="136"/>
      <c r="Y150" s="136"/>
      <c r="Z150" s="135"/>
      <c r="AA150" s="135">
        <f>AA151+AA152</f>
        <v>23245000</v>
      </c>
      <c r="AB150" s="136"/>
      <c r="AC150" s="135">
        <f>'LRA 2022'!U293</f>
        <v>315376730</v>
      </c>
      <c r="AD150" s="136">
        <v>8</v>
      </c>
      <c r="AE150" s="135">
        <f>'LRA 2023'!U304</f>
        <v>2720800</v>
      </c>
      <c r="AF150" s="136"/>
      <c r="AG150" s="136"/>
      <c r="AH150" s="136"/>
      <c r="AI150" s="136"/>
      <c r="AJ150" s="243">
        <v>1</v>
      </c>
      <c r="AK150" s="234">
        <f>AA150/Q150*100%</f>
        <v>0.70348793220851935</v>
      </c>
      <c r="AL150" s="551"/>
      <c r="AM150" s="236">
        <f t="shared" si="29"/>
        <v>1.1796288794755987</v>
      </c>
      <c r="AN150" s="136"/>
      <c r="AO150" s="120">
        <f t="shared" si="30"/>
        <v>6.8019999999999997E-2</v>
      </c>
      <c r="AP150" s="136"/>
      <c r="AR150" s="102"/>
      <c r="AS150" s="1">
        <f>49/8</f>
        <v>6.125</v>
      </c>
    </row>
    <row r="151" spans="1:52" ht="99.75" customHeight="1">
      <c r="A151" s="136"/>
      <c r="B151" s="136"/>
      <c r="C151" s="160"/>
      <c r="D151" s="160"/>
      <c r="E151" s="161"/>
      <c r="F151" s="914"/>
      <c r="G151" s="43" t="s">
        <v>216</v>
      </c>
      <c r="H151" s="136" t="s">
        <v>564</v>
      </c>
      <c r="I151" s="136"/>
      <c r="J151" s="163" t="s">
        <v>278</v>
      </c>
      <c r="K151" s="120">
        <f t="shared" si="32"/>
        <v>73042500</v>
      </c>
      <c r="L151" s="136"/>
      <c r="M151" s="136"/>
      <c r="N151" s="136"/>
      <c r="O151" s="136"/>
      <c r="P151" s="163" t="s">
        <v>278</v>
      </c>
      <c r="Q151" s="137">
        <f>'[13]SPJ FUNGSIONAL '!$O$373</f>
        <v>33042500</v>
      </c>
      <c r="R151" s="163">
        <v>8</v>
      </c>
      <c r="S151" s="68"/>
      <c r="T151" s="163">
        <v>8</v>
      </c>
      <c r="U151" s="68">
        <v>40000000</v>
      </c>
      <c r="V151" s="136"/>
      <c r="W151" s="136"/>
      <c r="X151" s="136"/>
      <c r="Y151" s="136"/>
      <c r="Z151" s="163">
        <v>8</v>
      </c>
      <c r="AA151" s="137">
        <f>'[13]SPJ FUNGSIONAL '!$Y$373</f>
        <v>23245000</v>
      </c>
      <c r="AB151" s="163">
        <v>8</v>
      </c>
      <c r="AC151" s="136"/>
      <c r="AD151" s="136">
        <v>8</v>
      </c>
      <c r="AE151" s="136"/>
      <c r="AF151" s="136"/>
      <c r="AG151" s="136"/>
      <c r="AH151" s="136"/>
      <c r="AI151" s="136"/>
      <c r="AJ151" s="243">
        <v>1</v>
      </c>
      <c r="AK151" s="234">
        <f>AA151/Q151*100%</f>
        <v>0.70348793220851935</v>
      </c>
      <c r="AL151" s="551">
        <f>AB151/R151</f>
        <v>1</v>
      </c>
      <c r="AM151" s="236"/>
      <c r="AN151" s="136"/>
      <c r="AO151" s="120">
        <f t="shared" si="30"/>
        <v>0</v>
      </c>
      <c r="AP151" s="136"/>
      <c r="AR151" s="102"/>
    </row>
    <row r="152" spans="1:52" ht="57.75" customHeight="1">
      <c r="A152" s="136"/>
      <c r="B152" s="136"/>
      <c r="C152" s="160"/>
      <c r="D152" s="160"/>
      <c r="E152" s="161"/>
      <c r="F152" s="915"/>
      <c r="G152" s="43" t="s">
        <v>217</v>
      </c>
      <c r="H152" s="136" t="s">
        <v>565</v>
      </c>
      <c r="I152" s="136"/>
      <c r="J152" s="136">
        <v>8</v>
      </c>
      <c r="K152" s="120">
        <f t="shared" si="32"/>
        <v>0</v>
      </c>
      <c r="L152" s="136"/>
      <c r="M152" s="136"/>
      <c r="N152" s="136"/>
      <c r="O152" s="136"/>
      <c r="P152" s="136">
        <v>0</v>
      </c>
      <c r="Q152" s="137">
        <v>0</v>
      </c>
      <c r="R152" s="136">
        <v>8</v>
      </c>
      <c r="S152" s="188"/>
      <c r="T152" s="136">
        <v>0</v>
      </c>
      <c r="U152" s="136">
        <v>0</v>
      </c>
      <c r="V152" s="136"/>
      <c r="W152" s="136"/>
      <c r="X152" s="136"/>
      <c r="Y152" s="136"/>
      <c r="Z152" s="137">
        <v>0</v>
      </c>
      <c r="AA152" s="137">
        <v>0</v>
      </c>
      <c r="AB152" s="136">
        <v>16</v>
      </c>
      <c r="AC152" s="136"/>
      <c r="AD152" s="136"/>
      <c r="AE152" s="136"/>
      <c r="AF152" s="136"/>
      <c r="AG152" s="136"/>
      <c r="AH152" s="136"/>
      <c r="AI152" s="136"/>
      <c r="AJ152" s="136">
        <v>0</v>
      </c>
      <c r="AK152" s="136">
        <v>0</v>
      </c>
      <c r="AL152" s="551">
        <f>AB152/R152</f>
        <v>2</v>
      </c>
      <c r="AM152" s="236"/>
      <c r="AN152" s="136"/>
      <c r="AO152" s="120"/>
      <c r="AP152" s="136"/>
      <c r="AR152" s="102"/>
    </row>
    <row r="153" spans="1:52" ht="63.75" customHeight="1">
      <c r="A153" s="136"/>
      <c r="B153" s="136"/>
      <c r="C153" s="160"/>
      <c r="D153" s="160"/>
      <c r="E153" s="161"/>
      <c r="F153" s="913" t="s">
        <v>218</v>
      </c>
      <c r="G153" s="43"/>
      <c r="H153" s="136"/>
      <c r="I153" s="136"/>
      <c r="J153" s="136"/>
      <c r="K153" s="120">
        <f t="shared" si="32"/>
        <v>117324000</v>
      </c>
      <c r="L153" s="136"/>
      <c r="M153" s="136"/>
      <c r="N153" s="136"/>
      <c r="O153" s="136"/>
      <c r="P153" s="136"/>
      <c r="Q153" s="135">
        <f>Q154+Q155</f>
        <v>9200000</v>
      </c>
      <c r="R153" s="136"/>
      <c r="S153" s="135">
        <v>80724000</v>
      </c>
      <c r="T153" s="136">
        <v>6</v>
      </c>
      <c r="U153" s="135">
        <f>U154+U155</f>
        <v>27400000</v>
      </c>
      <c r="V153" s="136"/>
      <c r="W153" s="136"/>
      <c r="X153" s="136"/>
      <c r="Y153" s="136"/>
      <c r="Z153" s="135"/>
      <c r="AA153" s="135">
        <f>AA154+AA155</f>
        <v>8866450</v>
      </c>
      <c r="AB153" s="136"/>
      <c r="AC153" s="135">
        <f>'LRA 2022'!U318</f>
        <v>42475175</v>
      </c>
      <c r="AD153" s="136">
        <v>4</v>
      </c>
      <c r="AE153" s="135">
        <f>'LRA 2023'!U312</f>
        <v>9080800</v>
      </c>
      <c r="AF153" s="136"/>
      <c r="AG153" s="136"/>
      <c r="AH153" s="136"/>
      <c r="AI153" s="136"/>
      <c r="AJ153" s="243">
        <v>1</v>
      </c>
      <c r="AK153" s="234">
        <f>AA153/Q153*100%</f>
        <v>0.96374456521739127</v>
      </c>
      <c r="AL153" s="551"/>
      <c r="AM153" s="236">
        <f t="shared" si="29"/>
        <v>0.52617777860363713</v>
      </c>
      <c r="AN153" s="551">
        <f>AD153/T153</f>
        <v>0.66666666666666663</v>
      </c>
      <c r="AO153" s="120">
        <f t="shared" si="30"/>
        <v>0.33141605839416061</v>
      </c>
      <c r="AP153" s="136"/>
      <c r="AR153" s="102">
        <v>50400000</v>
      </c>
    </row>
    <row r="154" spans="1:52" ht="102" customHeight="1">
      <c r="A154" s="136"/>
      <c r="B154" s="136"/>
      <c r="C154" s="160"/>
      <c r="D154" s="160"/>
      <c r="E154" s="161"/>
      <c r="F154" s="914"/>
      <c r="G154" s="43" t="s">
        <v>219</v>
      </c>
      <c r="H154" s="136" t="s">
        <v>551</v>
      </c>
      <c r="I154" s="136"/>
      <c r="J154" s="136" t="s">
        <v>279</v>
      </c>
      <c r="K154" s="120">
        <f t="shared" si="32"/>
        <v>16600000</v>
      </c>
      <c r="L154" s="136"/>
      <c r="M154" s="136"/>
      <c r="N154" s="136"/>
      <c r="O154" s="136"/>
      <c r="P154" s="136" t="s">
        <v>279</v>
      </c>
      <c r="Q154" s="137">
        <f>'[13]SPJ FUNGSIONAL '!$O$382</f>
        <v>9200000</v>
      </c>
      <c r="R154" s="136">
        <v>4</v>
      </c>
      <c r="S154" s="137"/>
      <c r="T154" s="136">
        <v>4</v>
      </c>
      <c r="U154" s="137">
        <v>7400000</v>
      </c>
      <c r="V154" s="136"/>
      <c r="W154" s="136"/>
      <c r="X154" s="136"/>
      <c r="Y154" s="136"/>
      <c r="Z154" s="136">
        <v>4</v>
      </c>
      <c r="AA154" s="137">
        <f>'[13]SPJ FUNGSIONAL '!$Y$382</f>
        <v>8866450</v>
      </c>
      <c r="AB154" s="136">
        <v>4</v>
      </c>
      <c r="AC154" s="136"/>
      <c r="AD154" s="136">
        <v>4</v>
      </c>
      <c r="AE154" s="136"/>
      <c r="AF154" s="136"/>
      <c r="AG154" s="136"/>
      <c r="AH154" s="136"/>
      <c r="AI154" s="136"/>
      <c r="AJ154" s="243">
        <v>1</v>
      </c>
      <c r="AK154" s="234">
        <f>AA154/Q154*100%</f>
        <v>0.96374456521739127</v>
      </c>
      <c r="AL154" s="551">
        <f>AB154/R154</f>
        <v>1</v>
      </c>
      <c r="AM154" s="236"/>
      <c r="AN154" s="136"/>
      <c r="AO154" s="120">
        <f t="shared" si="30"/>
        <v>0</v>
      </c>
      <c r="AP154" s="136"/>
      <c r="AR154" s="102"/>
      <c r="AT154" s="172">
        <f>100*40000</f>
        <v>4000000</v>
      </c>
      <c r="AU154" s="172">
        <f>400000*2*4</f>
        <v>3200000</v>
      </c>
      <c r="AV154" s="124">
        <f>AT154+AU154</f>
        <v>7200000</v>
      </c>
    </row>
    <row r="155" spans="1:52" ht="72.75" customHeight="1">
      <c r="A155" s="136"/>
      <c r="B155" s="136"/>
      <c r="C155" s="160"/>
      <c r="D155" s="160"/>
      <c r="E155" s="161"/>
      <c r="F155" s="915"/>
      <c r="G155" s="43" t="s">
        <v>220</v>
      </c>
      <c r="H155" s="136" t="s">
        <v>566</v>
      </c>
      <c r="I155" s="136"/>
      <c r="J155" s="136">
        <v>2</v>
      </c>
      <c r="K155" s="120">
        <f t="shared" si="32"/>
        <v>20000000</v>
      </c>
      <c r="L155" s="136"/>
      <c r="M155" s="136"/>
      <c r="N155" s="136"/>
      <c r="O155" s="136"/>
      <c r="P155" s="163" t="s">
        <v>280</v>
      </c>
      <c r="Q155" s="68">
        <v>0</v>
      </c>
      <c r="R155" s="163">
        <v>2</v>
      </c>
      <c r="S155" s="68"/>
      <c r="T155" s="136">
        <v>2</v>
      </c>
      <c r="U155" s="68">
        <v>20000000</v>
      </c>
      <c r="V155" s="136"/>
      <c r="W155" s="136"/>
      <c r="X155" s="136"/>
      <c r="Y155" s="136"/>
      <c r="Z155" s="68">
        <v>0</v>
      </c>
      <c r="AA155" s="68">
        <v>0</v>
      </c>
      <c r="AB155" s="163">
        <v>2</v>
      </c>
      <c r="AC155" s="136"/>
      <c r="AD155" s="136">
        <v>0</v>
      </c>
      <c r="AE155" s="136"/>
      <c r="AF155" s="136"/>
      <c r="AG155" s="136"/>
      <c r="AH155" s="136"/>
      <c r="AI155" s="136"/>
      <c r="AJ155" s="136">
        <v>0</v>
      </c>
      <c r="AK155" s="136">
        <v>0</v>
      </c>
      <c r="AL155" s="551">
        <f>AB155/R155</f>
        <v>1</v>
      </c>
      <c r="AM155" s="236"/>
      <c r="AN155" s="136"/>
      <c r="AO155" s="120">
        <f t="shared" si="30"/>
        <v>0</v>
      </c>
      <c r="AP155" s="136"/>
      <c r="AR155" s="102" t="e">
        <f>SUM(AR76:AR154)</f>
        <v>#REF!</v>
      </c>
    </row>
    <row r="156" spans="1:52">
      <c r="A156" s="189"/>
      <c r="B156" s="189"/>
      <c r="C156" s="866" t="s">
        <v>298</v>
      </c>
      <c r="D156" s="867"/>
      <c r="E156" s="867"/>
      <c r="F156" s="867"/>
      <c r="G156" s="867"/>
      <c r="H156" s="867"/>
      <c r="I156" s="867"/>
      <c r="J156" s="867"/>
      <c r="K156" s="867"/>
      <c r="L156" s="867"/>
      <c r="M156" s="867"/>
      <c r="N156" s="867"/>
      <c r="O156" s="867"/>
      <c r="P156" s="867"/>
      <c r="Q156" s="867"/>
      <c r="R156" s="867"/>
      <c r="S156" s="867"/>
      <c r="T156" s="867"/>
      <c r="U156" s="867"/>
      <c r="V156" s="867"/>
      <c r="W156" s="867"/>
      <c r="X156" s="867"/>
      <c r="Y156" s="867"/>
      <c r="Z156" s="867"/>
      <c r="AA156" s="867"/>
      <c r="AB156" s="867"/>
      <c r="AC156" s="867"/>
      <c r="AD156" s="867"/>
      <c r="AE156" s="868"/>
      <c r="AF156" s="277">
        <f>AF21+AF32+AF40+AF42+AF45+AF52/6*100%</f>
        <v>5.166666666666667</v>
      </c>
      <c r="AG156" s="277">
        <f>AG21+AG32+AG40+AG42+AG45+AG52/6*100%</f>
        <v>4.8440790831498886</v>
      </c>
      <c r="AH156" s="277">
        <f t="shared" ref="AH156:AI156" si="33">AH21+AH32+AH40+AH42+AH45+AH52/6*100%</f>
        <v>3.1666666666666665</v>
      </c>
      <c r="AI156" s="277">
        <f t="shared" si="33"/>
        <v>2.8733813535543344</v>
      </c>
      <c r="AJ156" s="267">
        <f>AJ148+AJ141+AJ125+AJ102+AJ74/5*100%</f>
        <v>4.3778696051423323</v>
      </c>
      <c r="AK156" s="267">
        <f>AK148+AK141+AK125+AK102+AK74/5*100%</f>
        <v>3.2357174059121658</v>
      </c>
      <c r="AL156" s="267">
        <f>AL148+AL141+AL125+AL102+AL74/5*100%</f>
        <v>3.288588888888889</v>
      </c>
      <c r="AM156" s="267">
        <f>AM148+AM141+AM125+AM102+AM74/5*100%</f>
        <v>3.5739162612250777</v>
      </c>
      <c r="AN156" s="249"/>
      <c r="AO156" s="267">
        <f>AO148+AO141+AO125+AO102+AO74/5*100%</f>
        <v>3.386897725848542</v>
      </c>
      <c r="AP156" s="249"/>
      <c r="AR156" s="141" t="e">
        <f>AR155-#REF!</f>
        <v>#REF!</v>
      </c>
    </row>
    <row r="157" spans="1:52" ht="15.5">
      <c r="A157" s="189"/>
      <c r="B157" s="191"/>
      <c r="C157" s="866" t="s">
        <v>299</v>
      </c>
      <c r="D157" s="867"/>
      <c r="E157" s="867"/>
      <c r="F157" s="867"/>
      <c r="G157" s="867"/>
      <c r="H157" s="867"/>
      <c r="I157" s="867"/>
      <c r="J157" s="867"/>
      <c r="K157" s="867"/>
      <c r="L157" s="867"/>
      <c r="M157" s="867"/>
      <c r="N157" s="867"/>
      <c r="O157" s="867"/>
      <c r="P157" s="867"/>
      <c r="Q157" s="867"/>
      <c r="R157" s="867"/>
      <c r="S157" s="867"/>
      <c r="T157" s="867"/>
      <c r="U157" s="867"/>
      <c r="V157" s="867"/>
      <c r="W157" s="867"/>
      <c r="X157" s="867"/>
      <c r="Y157" s="867"/>
      <c r="Z157" s="867"/>
      <c r="AA157" s="867"/>
      <c r="AB157" s="867"/>
      <c r="AC157" s="867"/>
      <c r="AD157" s="867"/>
      <c r="AE157" s="868"/>
      <c r="AF157" s="249"/>
      <c r="AG157" s="249"/>
      <c r="AH157" s="249"/>
      <c r="AI157" s="249"/>
      <c r="AJ157" s="249"/>
      <c r="AK157" s="249"/>
      <c r="AL157" s="249"/>
      <c r="AM157" s="249"/>
      <c r="AN157" s="249"/>
      <c r="AO157" s="249"/>
      <c r="AP157" s="249"/>
    </row>
    <row r="158" spans="1:52" s="255" customFormat="1" ht="19.5" customHeight="1">
      <c r="A158" s="253"/>
      <c r="B158" s="253" t="s">
        <v>221</v>
      </c>
      <c r="C158" s="869" t="s">
        <v>300</v>
      </c>
      <c r="D158" s="870"/>
      <c r="E158" s="870"/>
      <c r="F158" s="870"/>
      <c r="G158" s="870"/>
      <c r="H158" s="870"/>
      <c r="I158" s="870"/>
      <c r="J158" s="871"/>
      <c r="K158" s="254"/>
      <c r="L158" s="254"/>
      <c r="M158" s="254"/>
      <c r="N158" s="254"/>
      <c r="O158" s="254"/>
      <c r="P158" s="254"/>
      <c r="Q158" s="254"/>
      <c r="R158" s="254"/>
      <c r="S158" s="254"/>
      <c r="T158" s="254"/>
      <c r="U158" s="254"/>
      <c r="V158" s="254"/>
      <c r="W158" s="254"/>
      <c r="X158" s="254"/>
      <c r="Y158" s="254"/>
      <c r="Z158" s="254"/>
      <c r="AA158" s="254"/>
      <c r="AB158" s="254"/>
      <c r="AC158" s="254"/>
      <c r="AD158" s="254"/>
      <c r="AE158" s="254"/>
      <c r="AF158" s="254"/>
      <c r="AG158" s="254"/>
      <c r="AH158" s="254"/>
      <c r="AI158" s="254"/>
      <c r="AJ158" s="254"/>
      <c r="AK158" s="254"/>
      <c r="AL158" s="254"/>
      <c r="AM158" s="254"/>
      <c r="AN158" s="254"/>
      <c r="AO158" s="254"/>
      <c r="AP158" s="254"/>
    </row>
    <row r="159" spans="1:52" s="255" customFormat="1" ht="19.5" customHeight="1">
      <c r="A159" s="253"/>
      <c r="B159" s="253"/>
      <c r="C159" s="263"/>
      <c r="D159" s="555" t="s">
        <v>312</v>
      </c>
      <c r="E159" s="552"/>
      <c r="F159" s="552"/>
      <c r="G159" s="261"/>
      <c r="H159" s="261"/>
      <c r="I159" s="540"/>
      <c r="J159" s="262"/>
      <c r="K159" s="254"/>
      <c r="L159" s="254"/>
      <c r="M159" s="254"/>
      <c r="N159" s="254"/>
      <c r="O159" s="254"/>
      <c r="P159" s="254"/>
      <c r="Q159" s="254"/>
      <c r="R159" s="254"/>
      <c r="S159" s="254"/>
      <c r="T159" s="254"/>
      <c r="U159" s="254"/>
      <c r="V159" s="254"/>
      <c r="W159" s="254"/>
      <c r="X159" s="254"/>
      <c r="Y159" s="254"/>
      <c r="Z159" s="254"/>
      <c r="AA159" s="254"/>
      <c r="AB159" s="254"/>
      <c r="AC159" s="254"/>
      <c r="AD159" s="254"/>
      <c r="AE159" s="254"/>
      <c r="AF159" s="254"/>
      <c r="AG159" s="254"/>
      <c r="AH159" s="254"/>
      <c r="AI159" s="254"/>
      <c r="AJ159" s="254"/>
      <c r="AK159" s="254"/>
      <c r="AL159" s="254"/>
      <c r="AM159" s="254"/>
      <c r="AN159" s="254"/>
      <c r="AO159" s="254"/>
      <c r="AP159" s="254"/>
    </row>
    <row r="160" spans="1:52" s="255" customFormat="1" ht="19.5" customHeight="1">
      <c r="A160" s="253"/>
      <c r="B160" s="253"/>
      <c r="C160" s="263"/>
      <c r="D160" s="555"/>
      <c r="E160" s="552" t="s">
        <v>313</v>
      </c>
      <c r="F160" s="552"/>
      <c r="G160" s="261"/>
      <c r="H160" s="261"/>
      <c r="I160" s="540"/>
      <c r="J160" s="262"/>
      <c r="K160" s="254"/>
      <c r="L160" s="254"/>
      <c r="M160" s="254"/>
      <c r="N160" s="254"/>
      <c r="O160" s="254"/>
      <c r="P160" s="254"/>
      <c r="Q160" s="254"/>
      <c r="R160" s="254"/>
      <c r="S160" s="254"/>
      <c r="T160" s="254"/>
      <c r="U160" s="254"/>
      <c r="V160" s="254"/>
      <c r="W160" s="254"/>
      <c r="X160" s="254"/>
      <c r="Y160" s="254"/>
      <c r="Z160" s="254"/>
      <c r="AA160" s="254"/>
      <c r="AB160" s="254"/>
      <c r="AC160" s="254"/>
      <c r="AD160" s="254"/>
      <c r="AE160" s="254"/>
      <c r="AF160" s="254"/>
      <c r="AG160" s="254"/>
      <c r="AH160" s="254"/>
      <c r="AI160" s="254"/>
      <c r="AJ160" s="254"/>
      <c r="AK160" s="254"/>
      <c r="AL160" s="254"/>
      <c r="AM160" s="254"/>
      <c r="AN160" s="254"/>
      <c r="AO160" s="254"/>
      <c r="AP160" s="254"/>
    </row>
    <row r="161" spans="1:42" s="255" customFormat="1" ht="19.5" customHeight="1">
      <c r="A161" s="253"/>
      <c r="B161" s="253"/>
      <c r="C161" s="263"/>
      <c r="D161" s="552" t="s">
        <v>311</v>
      </c>
      <c r="E161" s="552"/>
      <c r="F161" s="552"/>
      <c r="G161" s="261"/>
      <c r="H161" s="261"/>
      <c r="I161" s="540"/>
      <c r="J161" s="262"/>
      <c r="K161" s="254"/>
      <c r="L161" s="254"/>
      <c r="M161" s="254"/>
      <c r="N161" s="254"/>
      <c r="O161" s="254"/>
      <c r="P161" s="254"/>
      <c r="Q161" s="254"/>
      <c r="R161" s="254"/>
      <c r="S161" s="254"/>
      <c r="T161" s="254"/>
      <c r="U161" s="254"/>
      <c r="V161" s="254"/>
      <c r="W161" s="254"/>
      <c r="X161" s="254"/>
      <c r="Y161" s="254"/>
      <c r="Z161" s="254"/>
      <c r="AA161" s="254"/>
      <c r="AB161" s="254"/>
      <c r="AC161" s="254"/>
      <c r="AD161" s="254"/>
      <c r="AE161" s="254"/>
      <c r="AF161" s="254"/>
      <c r="AG161" s="254"/>
      <c r="AH161" s="254"/>
      <c r="AI161" s="254"/>
      <c r="AJ161" s="254"/>
      <c r="AK161" s="254"/>
      <c r="AL161" s="254"/>
      <c r="AM161" s="254"/>
      <c r="AN161" s="254"/>
      <c r="AO161" s="254"/>
      <c r="AP161" s="254"/>
    </row>
    <row r="162" spans="1:42" s="255" customFormat="1" ht="19.5" customHeight="1">
      <c r="A162" s="253"/>
      <c r="B162" s="253"/>
      <c r="C162" s="263"/>
      <c r="D162" s="552" t="s">
        <v>310</v>
      </c>
      <c r="E162" s="552"/>
      <c r="F162" s="552"/>
      <c r="G162" s="261"/>
      <c r="H162" s="261"/>
      <c r="I162" s="540"/>
      <c r="J162" s="262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54"/>
      <c r="V162" s="254"/>
      <c r="W162" s="254"/>
      <c r="X162" s="254"/>
      <c r="Y162" s="254"/>
      <c r="Z162" s="254"/>
      <c r="AA162" s="254"/>
      <c r="AB162" s="254"/>
      <c r="AC162" s="254"/>
      <c r="AD162" s="254"/>
      <c r="AE162" s="254"/>
      <c r="AF162" s="254"/>
      <c r="AG162" s="254"/>
      <c r="AH162" s="254"/>
      <c r="AI162" s="254"/>
      <c r="AJ162" s="254"/>
      <c r="AK162" s="254"/>
      <c r="AL162" s="254"/>
      <c r="AM162" s="254"/>
      <c r="AN162" s="254"/>
      <c r="AO162" s="254"/>
      <c r="AP162" s="254"/>
    </row>
    <row r="163" spans="1:42" s="255" customFormat="1" ht="19.5" customHeight="1">
      <c r="A163" s="253"/>
      <c r="B163" s="253"/>
      <c r="C163" s="263"/>
      <c r="D163" s="552" t="s">
        <v>309</v>
      </c>
      <c r="E163" s="552"/>
      <c r="F163" s="552"/>
      <c r="G163" s="261"/>
      <c r="H163" s="261"/>
      <c r="I163" s="540"/>
      <c r="J163" s="262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  <c r="Y163" s="254"/>
      <c r="Z163" s="254"/>
      <c r="AA163" s="254"/>
      <c r="AB163" s="254"/>
      <c r="AC163" s="254"/>
      <c r="AD163" s="254"/>
      <c r="AE163" s="254"/>
      <c r="AF163" s="254"/>
      <c r="AG163" s="254"/>
      <c r="AH163" s="254"/>
      <c r="AI163" s="254"/>
      <c r="AJ163" s="254"/>
      <c r="AK163" s="254"/>
      <c r="AL163" s="254"/>
      <c r="AM163" s="254"/>
      <c r="AN163" s="254"/>
      <c r="AO163" s="254"/>
      <c r="AP163" s="254"/>
    </row>
    <row r="164" spans="1:42" s="255" customFormat="1" ht="19.5" customHeight="1">
      <c r="A164" s="253"/>
      <c r="B164" s="253"/>
      <c r="C164" s="263"/>
      <c r="D164" s="552" t="s">
        <v>308</v>
      </c>
      <c r="E164" s="552"/>
      <c r="F164" s="552"/>
      <c r="G164" s="261"/>
      <c r="H164" s="261"/>
      <c r="I164" s="540"/>
      <c r="J164" s="262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X164" s="254"/>
      <c r="Y164" s="254"/>
      <c r="Z164" s="254"/>
      <c r="AA164" s="254"/>
      <c r="AB164" s="254"/>
      <c r="AC164" s="254"/>
      <c r="AD164" s="254"/>
      <c r="AE164" s="254"/>
      <c r="AF164" s="254"/>
      <c r="AG164" s="254"/>
      <c r="AH164" s="254"/>
      <c r="AI164" s="254"/>
      <c r="AJ164" s="254"/>
      <c r="AK164" s="254"/>
      <c r="AL164" s="254"/>
      <c r="AM164" s="254"/>
      <c r="AN164" s="254"/>
      <c r="AO164" s="254"/>
      <c r="AP164" s="254"/>
    </row>
    <row r="165" spans="1:42" s="255" customFormat="1" ht="19.5" customHeight="1">
      <c r="A165" s="253"/>
      <c r="B165" s="253"/>
      <c r="C165" s="266"/>
      <c r="D165" s="552" t="s">
        <v>307</v>
      </c>
      <c r="E165" s="552"/>
      <c r="F165" s="552"/>
      <c r="G165" s="261"/>
      <c r="H165" s="261"/>
      <c r="I165" s="540"/>
      <c r="J165" s="262"/>
      <c r="K165" s="254"/>
      <c r="L165" s="254"/>
      <c r="M165" s="254"/>
      <c r="N165" s="254"/>
      <c r="O165" s="254"/>
      <c r="P165" s="254"/>
      <c r="Q165" s="254"/>
      <c r="R165" s="254"/>
      <c r="S165" s="254"/>
      <c r="T165" s="254"/>
      <c r="U165" s="254"/>
      <c r="V165" s="254"/>
      <c r="W165" s="254"/>
      <c r="X165" s="254"/>
      <c r="Y165" s="254"/>
      <c r="Z165" s="254"/>
      <c r="AA165" s="254"/>
      <c r="AB165" s="254"/>
      <c r="AC165" s="254"/>
      <c r="AD165" s="254"/>
      <c r="AE165" s="254"/>
      <c r="AF165" s="254"/>
      <c r="AG165" s="254"/>
      <c r="AH165" s="254"/>
      <c r="AI165" s="254"/>
      <c r="AJ165" s="254"/>
      <c r="AK165" s="254"/>
      <c r="AL165" s="254"/>
      <c r="AM165" s="254"/>
      <c r="AN165" s="254"/>
      <c r="AO165" s="254"/>
      <c r="AP165" s="254"/>
    </row>
    <row r="166" spans="1:42" s="255" customFormat="1" ht="19.5" customHeight="1">
      <c r="A166" s="253"/>
      <c r="B166" s="256" t="s">
        <v>222</v>
      </c>
      <c r="C166" s="869" t="s">
        <v>301</v>
      </c>
      <c r="D166" s="870"/>
      <c r="E166" s="870"/>
      <c r="F166" s="870"/>
      <c r="G166" s="870"/>
      <c r="H166" s="870"/>
      <c r="I166" s="870"/>
      <c r="J166" s="871"/>
      <c r="K166" s="254"/>
      <c r="L166" s="254"/>
      <c r="M166" s="254"/>
      <c r="N166" s="254"/>
      <c r="O166" s="254"/>
      <c r="P166" s="254"/>
      <c r="Q166" s="254"/>
      <c r="R166" s="254"/>
      <c r="S166" s="254"/>
      <c r="T166" s="254"/>
      <c r="U166" s="254"/>
      <c r="V166" s="254"/>
      <c r="W166" s="254"/>
      <c r="X166" s="254"/>
      <c r="Y166" s="254"/>
      <c r="Z166" s="254"/>
      <c r="AA166" s="254"/>
      <c r="AB166" s="254"/>
      <c r="AC166" s="254"/>
      <c r="AD166" s="254"/>
      <c r="AE166" s="254"/>
      <c r="AF166" s="254"/>
      <c r="AG166" s="254"/>
      <c r="AH166" s="254"/>
      <c r="AI166" s="254"/>
      <c r="AJ166" s="254"/>
      <c r="AK166" s="254"/>
      <c r="AL166" s="254"/>
      <c r="AM166" s="254"/>
      <c r="AN166" s="254"/>
      <c r="AO166" s="254"/>
      <c r="AP166" s="254"/>
    </row>
    <row r="167" spans="1:42" s="255" customFormat="1" ht="19.5" customHeight="1">
      <c r="A167" s="253"/>
      <c r="B167" s="256"/>
      <c r="C167" s="263"/>
      <c r="D167" s="552" t="s">
        <v>305</v>
      </c>
      <c r="E167" s="552"/>
      <c r="F167" s="552"/>
      <c r="G167" s="552"/>
      <c r="H167" s="552"/>
      <c r="I167" s="552"/>
      <c r="J167" s="553"/>
      <c r="K167" s="554"/>
      <c r="L167" s="554"/>
      <c r="M167" s="554"/>
      <c r="N167" s="554"/>
      <c r="O167" s="5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254"/>
      <c r="AA167" s="254"/>
      <c r="AB167" s="254"/>
      <c r="AC167" s="254"/>
      <c r="AD167" s="254"/>
      <c r="AE167" s="254"/>
      <c r="AF167" s="254"/>
      <c r="AG167" s="254"/>
      <c r="AH167" s="254"/>
      <c r="AI167" s="254"/>
      <c r="AJ167" s="254"/>
      <c r="AK167" s="254"/>
      <c r="AL167" s="254"/>
      <c r="AM167" s="254"/>
      <c r="AN167" s="254"/>
      <c r="AO167" s="254"/>
      <c r="AP167" s="254"/>
    </row>
    <row r="168" spans="1:42" s="255" customFormat="1" ht="19.5" customHeight="1">
      <c r="A168" s="253"/>
      <c r="B168" s="256"/>
      <c r="C168" s="263"/>
      <c r="D168" s="552" t="s">
        <v>316</v>
      </c>
      <c r="E168" s="552"/>
      <c r="F168" s="552"/>
      <c r="G168" s="552"/>
      <c r="H168" s="552"/>
      <c r="I168" s="552"/>
      <c r="J168" s="553"/>
      <c r="K168" s="554"/>
      <c r="L168" s="554"/>
      <c r="M168" s="554"/>
      <c r="N168" s="554"/>
      <c r="O168" s="554"/>
      <c r="P168" s="254"/>
      <c r="Q168" s="254"/>
      <c r="R168" s="254"/>
      <c r="S168" s="254"/>
      <c r="T168" s="254"/>
      <c r="U168" s="254"/>
      <c r="V168" s="254"/>
      <c r="W168" s="254"/>
      <c r="X168" s="254"/>
      <c r="Y168" s="254"/>
      <c r="Z168" s="254"/>
      <c r="AA168" s="254"/>
      <c r="AB168" s="254"/>
      <c r="AC168" s="254"/>
      <c r="AD168" s="254"/>
      <c r="AE168" s="254"/>
      <c r="AF168" s="254"/>
      <c r="AG168" s="254"/>
      <c r="AH168" s="254"/>
      <c r="AI168" s="254"/>
      <c r="AJ168" s="254"/>
      <c r="AK168" s="254"/>
      <c r="AL168" s="254"/>
      <c r="AM168" s="254"/>
      <c r="AN168" s="254"/>
      <c r="AO168" s="254"/>
      <c r="AP168" s="254"/>
    </row>
    <row r="169" spans="1:42" s="255" customFormat="1" ht="19.5" customHeight="1">
      <c r="A169" s="253"/>
      <c r="B169" s="256"/>
      <c r="C169" s="264"/>
      <c r="D169" s="552" t="s">
        <v>306</v>
      </c>
      <c r="E169" s="552"/>
      <c r="F169" s="552"/>
      <c r="G169" s="552"/>
      <c r="H169" s="552"/>
      <c r="I169" s="552"/>
      <c r="J169" s="553"/>
      <c r="K169" s="554"/>
      <c r="L169" s="554"/>
      <c r="M169" s="554"/>
      <c r="N169" s="554"/>
      <c r="O169" s="554"/>
      <c r="P169" s="254"/>
      <c r="Q169" s="254"/>
      <c r="R169" s="254"/>
      <c r="S169" s="254"/>
      <c r="T169" s="254"/>
      <c r="U169" s="254"/>
      <c r="V169" s="254"/>
      <c r="W169" s="254"/>
      <c r="X169" s="254"/>
      <c r="Y169" s="254"/>
      <c r="Z169" s="254"/>
      <c r="AA169" s="254"/>
      <c r="AB169" s="254"/>
      <c r="AC169" s="254"/>
      <c r="AD169" s="254"/>
      <c r="AE169" s="254"/>
      <c r="AF169" s="254"/>
      <c r="AG169" s="254"/>
      <c r="AH169" s="254"/>
      <c r="AI169" s="254"/>
      <c r="AJ169" s="254"/>
      <c r="AK169" s="254"/>
      <c r="AL169" s="254"/>
      <c r="AM169" s="254"/>
      <c r="AN169" s="254"/>
      <c r="AO169" s="254"/>
      <c r="AP169" s="254"/>
    </row>
    <row r="170" spans="1:42" s="255" customFormat="1" ht="19.5" customHeight="1">
      <c r="A170" s="253"/>
      <c r="B170" s="256"/>
      <c r="C170" s="265"/>
      <c r="D170" s="552" t="s">
        <v>314</v>
      </c>
      <c r="E170" s="552"/>
      <c r="F170" s="552"/>
      <c r="G170" s="552"/>
      <c r="H170" s="552"/>
      <c r="I170" s="552"/>
      <c r="J170" s="553"/>
      <c r="K170" s="554"/>
      <c r="L170" s="554"/>
      <c r="M170" s="554"/>
      <c r="N170" s="554"/>
      <c r="O170" s="554"/>
      <c r="P170" s="254"/>
      <c r="Q170" s="254"/>
      <c r="R170" s="254"/>
      <c r="S170" s="254"/>
      <c r="T170" s="254"/>
      <c r="U170" s="254"/>
      <c r="V170" s="254"/>
      <c r="W170" s="254"/>
      <c r="X170" s="254"/>
      <c r="Y170" s="254"/>
      <c r="Z170" s="254"/>
      <c r="AA170" s="254"/>
      <c r="AB170" s="254"/>
      <c r="AC170" s="254"/>
      <c r="AD170" s="254"/>
      <c r="AE170" s="254"/>
      <c r="AF170" s="254"/>
      <c r="AG170" s="254"/>
      <c r="AH170" s="254"/>
      <c r="AI170" s="254"/>
      <c r="AJ170" s="254"/>
      <c r="AK170" s="254"/>
      <c r="AL170" s="254"/>
      <c r="AM170" s="254"/>
      <c r="AN170" s="254"/>
      <c r="AO170" s="254"/>
      <c r="AP170" s="254"/>
    </row>
    <row r="171" spans="1:42" s="255" customFormat="1" ht="19.5" customHeight="1">
      <c r="A171" s="253"/>
      <c r="B171" s="257" t="e">
        <f>#REF!</f>
        <v>#REF!</v>
      </c>
      <c r="C171" s="863" t="s">
        <v>302</v>
      </c>
      <c r="D171" s="864"/>
      <c r="E171" s="864"/>
      <c r="F171" s="864"/>
      <c r="G171" s="864"/>
      <c r="H171" s="864"/>
      <c r="I171" s="864"/>
      <c r="J171" s="865"/>
      <c r="K171" s="254"/>
      <c r="L171" s="254"/>
      <c r="M171" s="254"/>
      <c r="N171" s="254"/>
      <c r="O171" s="254"/>
      <c r="P171" s="254"/>
      <c r="Q171" s="254"/>
      <c r="R171" s="254"/>
      <c r="S171" s="254"/>
      <c r="T171" s="254"/>
      <c r="U171" s="254"/>
      <c r="V171" s="254"/>
      <c r="W171" s="254"/>
      <c r="X171" s="254"/>
      <c r="Y171" s="254"/>
      <c r="Z171" s="254"/>
      <c r="AA171" s="254"/>
      <c r="AB171" s="254"/>
      <c r="AC171" s="254"/>
      <c r="AD171" s="254"/>
      <c r="AE171" s="254"/>
      <c r="AF171" s="254"/>
      <c r="AG171" s="254"/>
      <c r="AH171" s="254"/>
      <c r="AI171" s="254"/>
      <c r="AJ171" s="254"/>
      <c r="AK171" s="254"/>
      <c r="AL171" s="254"/>
      <c r="AM171" s="254"/>
      <c r="AN171" s="254"/>
      <c r="AO171" s="254"/>
      <c r="AP171" s="254"/>
    </row>
    <row r="172" spans="1:42" s="255" customFormat="1" ht="19.5" customHeight="1">
      <c r="A172" s="253"/>
      <c r="B172" s="257"/>
      <c r="C172" s="258"/>
      <c r="D172" s="268" t="s">
        <v>304</v>
      </c>
      <c r="E172" s="259"/>
      <c r="F172" s="259"/>
      <c r="G172" s="259"/>
      <c r="H172" s="259"/>
      <c r="I172" s="539"/>
      <c r="J172" s="260"/>
      <c r="K172" s="254"/>
      <c r="L172" s="254"/>
      <c r="M172" s="254"/>
      <c r="N172" s="254"/>
      <c r="O172" s="254"/>
      <c r="P172" s="254"/>
      <c r="Q172" s="254"/>
      <c r="R172" s="254"/>
      <c r="S172" s="254"/>
      <c r="T172" s="254"/>
      <c r="U172" s="254"/>
      <c r="V172" s="254"/>
      <c r="W172" s="254"/>
      <c r="X172" s="254"/>
      <c r="Y172" s="254"/>
      <c r="Z172" s="254"/>
      <c r="AA172" s="254"/>
      <c r="AB172" s="254"/>
      <c r="AC172" s="254"/>
      <c r="AD172" s="254"/>
      <c r="AE172" s="254"/>
      <c r="AF172" s="254"/>
      <c r="AG172" s="254"/>
      <c r="AH172" s="254"/>
      <c r="AI172" s="254"/>
      <c r="AJ172" s="254"/>
      <c r="AK172" s="254"/>
      <c r="AL172" s="254"/>
      <c r="AM172" s="254"/>
      <c r="AN172" s="254"/>
      <c r="AO172" s="254"/>
      <c r="AP172" s="254"/>
    </row>
    <row r="173" spans="1:42" s="255" customFormat="1" ht="19.5" customHeight="1">
      <c r="A173" s="253"/>
      <c r="B173" s="257"/>
      <c r="C173" s="258"/>
      <c r="D173" s="269" t="s">
        <v>315</v>
      </c>
      <c r="E173" s="259"/>
      <c r="F173" s="259"/>
      <c r="G173" s="259"/>
      <c r="H173" s="259"/>
      <c r="I173" s="539"/>
      <c r="J173" s="260"/>
      <c r="K173" s="254"/>
      <c r="L173" s="254"/>
      <c r="M173" s="254"/>
      <c r="N173" s="254"/>
      <c r="O173" s="254"/>
      <c r="P173" s="254"/>
      <c r="Q173" s="254"/>
      <c r="R173" s="254"/>
      <c r="S173" s="254"/>
      <c r="T173" s="254"/>
      <c r="U173" s="254"/>
      <c r="V173" s="254"/>
      <c r="W173" s="254"/>
      <c r="X173" s="254"/>
      <c r="Y173" s="254"/>
      <c r="Z173" s="254"/>
      <c r="AA173" s="254"/>
      <c r="AB173" s="254"/>
      <c r="AC173" s="254"/>
      <c r="AD173" s="254"/>
      <c r="AE173" s="254"/>
      <c r="AF173" s="254"/>
      <c r="AG173" s="254"/>
      <c r="AH173" s="254"/>
      <c r="AI173" s="254"/>
      <c r="AJ173" s="254"/>
      <c r="AK173" s="254"/>
      <c r="AL173" s="254"/>
      <c r="AM173" s="254"/>
      <c r="AN173" s="254"/>
      <c r="AO173" s="254"/>
      <c r="AP173" s="254"/>
    </row>
    <row r="174" spans="1:42" s="255" customFormat="1" ht="19.5" customHeight="1">
      <c r="A174" s="253"/>
      <c r="B174" s="257"/>
      <c r="C174" s="258"/>
      <c r="D174" s="269" t="s">
        <v>317</v>
      </c>
      <c r="E174" s="259"/>
      <c r="F174" s="259"/>
      <c r="G174" s="259"/>
      <c r="H174" s="259"/>
      <c r="I174" s="539"/>
      <c r="J174" s="260"/>
      <c r="K174" s="254"/>
      <c r="L174" s="254"/>
      <c r="M174" s="254"/>
      <c r="N174" s="254"/>
      <c r="O174" s="254"/>
      <c r="P174" s="254"/>
      <c r="Q174" s="254"/>
      <c r="R174" s="254"/>
      <c r="S174" s="254"/>
      <c r="T174" s="254"/>
      <c r="U174" s="254"/>
      <c r="V174" s="254"/>
      <c r="W174" s="254"/>
      <c r="X174" s="254"/>
      <c r="Y174" s="254"/>
      <c r="Z174" s="254"/>
      <c r="AA174" s="254"/>
      <c r="AB174" s="254"/>
      <c r="AC174" s="254"/>
      <c r="AD174" s="254"/>
      <c r="AE174" s="254"/>
      <c r="AF174" s="254"/>
      <c r="AG174" s="254"/>
      <c r="AH174" s="254"/>
      <c r="AI174" s="254"/>
      <c r="AJ174" s="254"/>
      <c r="AK174" s="254"/>
      <c r="AL174" s="254"/>
      <c r="AM174" s="254"/>
      <c r="AN174" s="254"/>
      <c r="AO174" s="254"/>
      <c r="AP174" s="254"/>
    </row>
    <row r="175" spans="1:42" ht="15.5">
      <c r="A175" s="189"/>
      <c r="C175" s="863" t="s">
        <v>303</v>
      </c>
      <c r="D175" s="864"/>
      <c r="E175" s="864"/>
      <c r="F175" s="864"/>
      <c r="G175" s="864"/>
      <c r="H175" s="864"/>
      <c r="I175" s="864"/>
      <c r="J175" s="865"/>
      <c r="K175" s="249"/>
      <c r="L175" s="249"/>
      <c r="M175" s="249"/>
      <c r="N175" s="249"/>
      <c r="O175" s="249"/>
      <c r="P175" s="249"/>
      <c r="Q175" s="249"/>
      <c r="R175" s="249"/>
      <c r="S175" s="249"/>
      <c r="T175" s="249"/>
      <c r="U175" s="249"/>
      <c r="V175" s="249"/>
      <c r="W175" s="249"/>
      <c r="X175" s="249"/>
      <c r="Y175" s="249"/>
      <c r="Z175" s="249"/>
      <c r="AA175" s="249"/>
      <c r="AB175" s="249"/>
      <c r="AC175" s="249"/>
      <c r="AD175" s="249"/>
      <c r="AE175" s="249"/>
      <c r="AF175" s="249"/>
      <c r="AG175" s="249"/>
      <c r="AH175" s="249"/>
      <c r="AI175" s="249"/>
      <c r="AJ175" s="249"/>
      <c r="AK175" s="249"/>
      <c r="AL175" s="249"/>
      <c r="AM175" s="249"/>
      <c r="AN175" s="249"/>
      <c r="AO175" s="249"/>
      <c r="AP175" s="249"/>
    </row>
    <row r="176" spans="1:42" ht="15.5">
      <c r="A176" s="189"/>
      <c r="B176" s="1" t="s">
        <v>223</v>
      </c>
      <c r="C176" s="263"/>
      <c r="D176" s="268" t="s">
        <v>304</v>
      </c>
      <c r="E176" s="268"/>
      <c r="F176" s="250"/>
      <c r="G176" s="250"/>
      <c r="H176" s="249"/>
      <c r="I176" s="249"/>
      <c r="J176" s="249"/>
      <c r="K176" s="249"/>
      <c r="L176" s="249"/>
      <c r="M176" s="249"/>
      <c r="N176" s="249"/>
      <c r="O176" s="249"/>
      <c r="P176" s="249"/>
      <c r="Q176" s="249"/>
      <c r="R176" s="249"/>
      <c r="S176" s="249"/>
      <c r="T176" s="249"/>
      <c r="U176" s="249"/>
      <c r="V176" s="249"/>
      <c r="W176" s="249"/>
      <c r="X176" s="249"/>
      <c r="Y176" s="249"/>
      <c r="Z176" s="249"/>
      <c r="AA176" s="249"/>
      <c r="AB176" s="249"/>
      <c r="AC176" s="249"/>
      <c r="AD176" s="249"/>
      <c r="AE176" s="249"/>
      <c r="AF176" s="249"/>
      <c r="AG176" s="249"/>
      <c r="AH176" s="249"/>
      <c r="AI176" s="249"/>
      <c r="AJ176" s="249"/>
      <c r="AK176" s="249"/>
      <c r="AL176" s="249"/>
      <c r="AM176" s="249"/>
      <c r="AN176" s="249"/>
      <c r="AO176" s="249"/>
      <c r="AP176" s="249"/>
    </row>
    <row r="177" spans="1:42" ht="15.5">
      <c r="A177" s="192"/>
      <c r="B177" s="193" t="s">
        <v>224</v>
      </c>
      <c r="C177" s="263"/>
      <c r="D177" s="269" t="s">
        <v>315</v>
      </c>
      <c r="E177" s="270"/>
      <c r="F177" s="250"/>
      <c r="G177" s="251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2"/>
      <c r="S177" s="252"/>
      <c r="T177" s="252"/>
      <c r="U177" s="252"/>
      <c r="V177" s="252"/>
      <c r="W177" s="252"/>
      <c r="X177" s="252"/>
      <c r="Y177" s="252"/>
      <c r="Z177" s="252"/>
      <c r="AA177" s="252"/>
      <c r="AB177" s="252"/>
      <c r="AC177" s="252"/>
      <c r="AD177" s="252"/>
      <c r="AE177" s="252"/>
      <c r="AF177" s="252"/>
      <c r="AG177" s="252"/>
      <c r="AH177" s="252"/>
      <c r="AI177" s="252"/>
      <c r="AJ177" s="252"/>
      <c r="AK177" s="252"/>
      <c r="AL177" s="252"/>
      <c r="AM177" s="252"/>
      <c r="AN177" s="252"/>
      <c r="AO177" s="252"/>
      <c r="AP177" s="252"/>
    </row>
    <row r="178" spans="1:42" ht="15.5">
      <c r="A178" s="192"/>
      <c r="B178" s="193" t="s">
        <v>225</v>
      </c>
      <c r="C178" s="264"/>
      <c r="D178" s="269" t="s">
        <v>317</v>
      </c>
      <c r="E178" s="271"/>
      <c r="F178" s="251"/>
      <c r="G178" s="251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  <c r="R178" s="252"/>
      <c r="S178" s="252"/>
      <c r="T178" s="252"/>
      <c r="U178" s="252"/>
      <c r="V178" s="252"/>
      <c r="W178" s="252"/>
      <c r="X178" s="252"/>
      <c r="Y178" s="252"/>
      <c r="Z178" s="252"/>
      <c r="AA178" s="252"/>
      <c r="AB178" s="252"/>
      <c r="AC178" s="252"/>
      <c r="AD178" s="252"/>
      <c r="AE178" s="252"/>
      <c r="AF178" s="252"/>
      <c r="AG178" s="252"/>
      <c r="AH178" s="252"/>
      <c r="AI178" s="252"/>
      <c r="AJ178" s="252"/>
      <c r="AK178" s="252"/>
      <c r="AL178" s="252"/>
      <c r="AM178" s="252"/>
      <c r="AN178" s="252"/>
      <c r="AO178" s="252"/>
      <c r="AP178" s="252"/>
    </row>
    <row r="179" spans="1:42">
      <c r="A179" s="192"/>
      <c r="B179" s="193"/>
      <c r="C179" s="247"/>
      <c r="D179" s="190"/>
      <c r="E179" s="246"/>
      <c r="F179" s="195"/>
      <c r="G179" s="195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</row>
    <row r="180" spans="1:42">
      <c r="A180" s="192"/>
      <c r="B180" s="194" t="s">
        <v>226</v>
      </c>
      <c r="C180" s="190"/>
      <c r="D180" s="190"/>
      <c r="E180" s="248"/>
      <c r="F180" s="195"/>
      <c r="G180" s="195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</row>
    <row r="181" spans="1:42" ht="15.5">
      <c r="A181" s="192"/>
      <c r="C181" s="245"/>
      <c r="D181" s="245"/>
      <c r="E181" s="245"/>
      <c r="F181" s="195"/>
      <c r="G181" s="195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  <c r="AK181" s="544" t="s">
        <v>586</v>
      </c>
      <c r="AL181" s="192"/>
      <c r="AM181" s="192"/>
      <c r="AN181" s="192"/>
      <c r="AO181" s="192"/>
      <c r="AP181" s="192"/>
    </row>
    <row r="182" spans="1:42" ht="15.5">
      <c r="A182" s="192"/>
      <c r="C182" s="245"/>
      <c r="D182" s="245"/>
      <c r="E182" s="245"/>
      <c r="F182" s="195"/>
      <c r="G182" s="195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  <c r="AK182" s="545"/>
      <c r="AL182" s="192"/>
      <c r="AM182" s="192"/>
      <c r="AN182" s="192"/>
      <c r="AO182" s="192"/>
      <c r="AP182" s="192"/>
    </row>
    <row r="183" spans="1:42" ht="15.5">
      <c r="A183" s="192"/>
      <c r="F183" s="195"/>
      <c r="G183" s="195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  <c r="AK183" s="544" t="s">
        <v>587</v>
      </c>
      <c r="AL183" s="192"/>
      <c r="AM183" s="192"/>
      <c r="AN183" s="192"/>
      <c r="AO183" s="192"/>
      <c r="AP183" s="192"/>
    </row>
    <row r="184" spans="1:42" ht="15.5">
      <c r="A184" s="192"/>
      <c r="F184" s="195"/>
      <c r="G184" s="195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  <c r="AK184" s="546" t="s">
        <v>542</v>
      </c>
      <c r="AL184" s="192"/>
      <c r="AM184" s="192"/>
      <c r="AN184" s="192"/>
      <c r="AO184" s="192"/>
      <c r="AP184" s="192"/>
    </row>
    <row r="185" spans="1:42" ht="15.5">
      <c r="A185" s="192"/>
      <c r="F185" s="195"/>
      <c r="G185" s="195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  <c r="AK185" s="547"/>
      <c r="AL185" s="192"/>
      <c r="AM185" s="192"/>
      <c r="AN185" s="192"/>
      <c r="AO185" s="192"/>
      <c r="AP185" s="192"/>
    </row>
    <row r="186" spans="1:42" ht="15.5">
      <c r="A186" s="192"/>
      <c r="B186" s="195"/>
      <c r="C186" s="195"/>
      <c r="D186" s="195"/>
      <c r="E186" s="195"/>
      <c r="F186" s="195"/>
      <c r="G186" s="195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  <c r="AK186" s="548"/>
      <c r="AL186" s="192"/>
      <c r="AM186" s="192"/>
      <c r="AN186" s="192"/>
      <c r="AO186" s="192"/>
      <c r="AP186" s="192"/>
    </row>
    <row r="187" spans="1:42" ht="15.5">
      <c r="A187" s="192"/>
      <c r="B187" s="195"/>
      <c r="C187" s="195"/>
      <c r="D187" s="195"/>
      <c r="E187" s="195"/>
      <c r="F187" s="195"/>
      <c r="G187" s="195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  <c r="AK187" s="548"/>
      <c r="AL187" s="192"/>
      <c r="AM187" s="192"/>
      <c r="AN187" s="192"/>
      <c r="AO187" s="192"/>
      <c r="AP187" s="192"/>
    </row>
    <row r="188" spans="1:42" ht="15.5">
      <c r="A188" s="192"/>
      <c r="B188" s="195"/>
      <c r="C188" s="195"/>
      <c r="D188" s="195"/>
      <c r="E188" s="195"/>
      <c r="F188" s="195"/>
      <c r="G188" s="195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  <c r="AK188" s="548" t="s">
        <v>588</v>
      </c>
      <c r="AL188" s="192"/>
      <c r="AM188" s="192"/>
      <c r="AN188" s="192"/>
      <c r="AO188" s="192"/>
      <c r="AP188" s="192"/>
    </row>
    <row r="189" spans="1:42" ht="15.5">
      <c r="A189" s="192"/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  <c r="AK189" s="548" t="s">
        <v>589</v>
      </c>
      <c r="AL189" s="192"/>
      <c r="AM189" s="192"/>
      <c r="AN189" s="192"/>
      <c r="AO189" s="192"/>
      <c r="AP189" s="192"/>
    </row>
    <row r="190" spans="1:42">
      <c r="A190" s="192"/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</row>
    <row r="191" spans="1:42">
      <c r="A191" s="192"/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</row>
    <row r="192" spans="1:42">
      <c r="A192" s="192"/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</row>
    <row r="193" spans="1:42">
      <c r="A193" s="192"/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</row>
    <row r="194" spans="1:42">
      <c r="A194" s="192"/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</row>
    <row r="195" spans="1:42">
      <c r="A195" s="192"/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</row>
    <row r="196" spans="1:42">
      <c r="A196" s="192"/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</row>
    <row r="197" spans="1:42">
      <c r="A197" s="192"/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</row>
    <row r="198" spans="1:42">
      <c r="A198" s="192"/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</row>
    <row r="199" spans="1:42">
      <c r="A199" s="192"/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</row>
    <row r="200" spans="1:42">
      <c r="A200" s="192"/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</row>
    <row r="201" spans="1:42">
      <c r="A201" s="192"/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</row>
    <row r="202" spans="1:42">
      <c r="A202" s="192"/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</row>
    <row r="203" spans="1:42">
      <c r="A203" s="192"/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</row>
    <row r="204" spans="1:42">
      <c r="A204" s="192"/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</row>
    <row r="205" spans="1:42">
      <c r="A205" s="192"/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</row>
    <row r="206" spans="1:42">
      <c r="A206" s="192"/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</row>
    <row r="207" spans="1:42">
      <c r="A207" s="192"/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</row>
    <row r="208" spans="1:42">
      <c r="A208" s="192"/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</row>
    <row r="209" spans="1:42">
      <c r="A209" s="192"/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</row>
    <row r="210" spans="1:42">
      <c r="A210" s="192"/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</row>
    <row r="211" spans="1:42">
      <c r="A211" s="192"/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</row>
    <row r="212" spans="1:42">
      <c r="A212" s="192"/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</row>
    <row r="213" spans="1:42">
      <c r="A213" s="192"/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</row>
    <row r="214" spans="1:42">
      <c r="A214" s="192"/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</row>
    <row r="215" spans="1:42">
      <c r="A215" s="192"/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</row>
    <row r="216" spans="1:42">
      <c r="A216" s="192"/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</row>
    <row r="217" spans="1:42">
      <c r="A217" s="192"/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</row>
    <row r="218" spans="1:42">
      <c r="A218" s="192"/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</row>
    <row r="219" spans="1:42">
      <c r="A219" s="192"/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</row>
    <row r="220" spans="1:42">
      <c r="A220" s="192"/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</row>
    <row r="221" spans="1:42">
      <c r="A221" s="192"/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</row>
    <row r="222" spans="1:42">
      <c r="A222" s="192"/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</row>
    <row r="223" spans="1:42">
      <c r="A223" s="192"/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</row>
  </sheetData>
  <mergeCells count="76">
    <mergeCell ref="AO141:AO142"/>
    <mergeCell ref="AE141:AE142"/>
    <mergeCell ref="U141:U142"/>
    <mergeCell ref="AO139:AO140"/>
    <mergeCell ref="AE139:AE140"/>
    <mergeCell ref="U139:U140"/>
    <mergeCell ref="AN15:AO15"/>
    <mergeCell ref="AD15:AE15"/>
    <mergeCell ref="AF15:AG15"/>
    <mergeCell ref="AH15:AI15"/>
    <mergeCell ref="AJ15:AK15"/>
    <mergeCell ref="AL15:AM15"/>
    <mergeCell ref="AP12:AP14"/>
    <mergeCell ref="F12:F14"/>
    <mergeCell ref="G12:G14"/>
    <mergeCell ref="H12:H14"/>
    <mergeCell ref="L13:M13"/>
    <mergeCell ref="N13:O13"/>
    <mergeCell ref="P13:Q13"/>
    <mergeCell ref="L12:U12"/>
    <mergeCell ref="V12:AE12"/>
    <mergeCell ref="J12:K13"/>
    <mergeCell ref="I12:I14"/>
    <mergeCell ref="C2:AP2"/>
    <mergeCell ref="C3:AP3"/>
    <mergeCell ref="C5:AP5"/>
    <mergeCell ref="C4:AP4"/>
    <mergeCell ref="C8:M8"/>
    <mergeCell ref="D15:E15"/>
    <mergeCell ref="J15:K15"/>
    <mergeCell ref="L15:M15"/>
    <mergeCell ref="N15:O15"/>
    <mergeCell ref="P15:Q15"/>
    <mergeCell ref="T15:U15"/>
    <mergeCell ref="V15:W15"/>
    <mergeCell ref="X15:Y15"/>
    <mergeCell ref="Z15:AA15"/>
    <mergeCell ref="AB15:AC15"/>
    <mergeCell ref="F150:F152"/>
    <mergeCell ref="F153:F155"/>
    <mergeCell ref="R15:S15"/>
    <mergeCell ref="AF12:AO12"/>
    <mergeCell ref="AF13:AG13"/>
    <mergeCell ref="AH13:AI13"/>
    <mergeCell ref="AJ13:AK13"/>
    <mergeCell ref="AL13:AM13"/>
    <mergeCell ref="AN13:AO13"/>
    <mergeCell ref="V13:W13"/>
    <mergeCell ref="X13:Y13"/>
    <mergeCell ref="Z13:AA13"/>
    <mergeCell ref="AB13:AC13"/>
    <mergeCell ref="AD13:AE13"/>
    <mergeCell ref="R13:S13"/>
    <mergeCell ref="T13:U13"/>
    <mergeCell ref="A73:B73"/>
    <mergeCell ref="A71:B71"/>
    <mergeCell ref="A45:B70"/>
    <mergeCell ref="A12:B14"/>
    <mergeCell ref="D17:E17"/>
    <mergeCell ref="A18:B23"/>
    <mergeCell ref="D18:E18"/>
    <mergeCell ref="D19:E19"/>
    <mergeCell ref="D20:E20"/>
    <mergeCell ref="C12:C14"/>
    <mergeCell ref="D12:E14"/>
    <mergeCell ref="D21:E44"/>
    <mergeCell ref="A16:G16"/>
    <mergeCell ref="D45:E70"/>
    <mergeCell ref="D72:E72"/>
    <mergeCell ref="D73:E73"/>
    <mergeCell ref="C175:J175"/>
    <mergeCell ref="C156:AE156"/>
    <mergeCell ref="C157:AE157"/>
    <mergeCell ref="C166:J166"/>
    <mergeCell ref="C158:J158"/>
    <mergeCell ref="C171:J171"/>
  </mergeCells>
  <pageMargins left="0.196850393700787" right="0.27559055118110198" top="0.511811023622047" bottom="0.62992125984252001" header="0.31496062992126" footer="0.39370078740157499"/>
  <pageSetup paperSize="5" scale="3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LRA 2023</vt:lpstr>
      <vt:lpstr>LRA 2022</vt:lpstr>
      <vt:lpstr>tabel renstra E.80</vt:lpstr>
      <vt:lpstr>'LRA 2022'!Print_Titles</vt:lpstr>
      <vt:lpstr>'LRA 2023'!Print_Titles</vt:lpstr>
      <vt:lpstr>'tabel renstra E.80'!Print_Titles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User</cp:lastModifiedBy>
  <cp:lastPrinted>2024-01-15T09:48:37Z</cp:lastPrinted>
  <dcterms:created xsi:type="dcterms:W3CDTF">2022-02-01T08:46:26Z</dcterms:created>
  <dcterms:modified xsi:type="dcterms:W3CDTF">2024-01-15T09:52:02Z</dcterms:modified>
</cp:coreProperties>
</file>